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FRONT-OFFICE\FINAN-GRAL-Y-REEST-DE-LA-DEUDA\Subastas\Calculadores\"/>
    </mc:Choice>
  </mc:AlternateContent>
  <xr:revisionPtr revIDLastSave="0" documentId="13_ncr:1_{513D3B24-5DD8-4EE3-975B-A099F4CB375E}" xr6:coauthVersionLast="44" xr6:coauthVersionMax="44" xr10:uidLastSave="{00000000-0000-0000-0000-000000000000}"/>
  <workbookProtection workbookAlgorithmName="SHA-512" workbookHashValue="5dO6eMLnwLppbwi1RVgFa8s4guqiWdYZFbD79nVNk8yLqNtQvvGUnO5PuFI06A9lfS40OQvZvuUfcwf6IELpSQ==" workbookSaltValue="joWPAqic6xF+s7lBBTALzA==" workbookSpinCount="100000" lockStructure="1"/>
  <bookViews>
    <workbookView showSheetTabs="0" xWindow="-120" yWindow="-120" windowWidth="24240" windowHeight="13140" xr2:uid="{00000000-000D-0000-FFFF-FFFF00000000}"/>
  </bookViews>
  <sheets>
    <sheet name="Planilla" sheetId="6" r:id="rId1"/>
    <sheet name="Calculo Precio Nota 5 años" sheetId="13" state="veryHidden" r:id="rId2"/>
    <sheet name="Calculo Precio 5 años" sheetId="11" state="veryHidden" r:id="rId3"/>
    <sheet name="Adv-Calend" sheetId="7" state="veryHidden" r:id="rId4"/>
    <sheet name="BaseDatos" sheetId="10" state="hidden" r:id="rId5"/>
  </sheets>
  <externalReferences>
    <externalReference r:id="rId6"/>
  </externalReferences>
  <definedNames>
    <definedName name="base">OFFSET(BaseDatos!#REF!,0,0,BaseDatos!#REF!,BaseDatos!$D$9)</definedName>
    <definedName name="clasif">BaseDatos!$C$34:$C$42</definedName>
    <definedName name="da">BaseDatos!$A$6</definedName>
    <definedName name="ids">IF(BaseDatos!$E$6=0,"",OFFSET(BaseDatos!$G$6,0,0,BaseDatos!$C$7,1))</definedName>
    <definedName name="Instrum">OFFSET(BaseDatos!#REF!,0,0,BaseDatos!#REF!,1)</definedName>
    <definedName name="min_amt">BaseDatos!#REF!</definedName>
    <definedName name="mon">Planilla!$E$19</definedName>
    <definedName name="nominal">BaseDatos!$B$6</definedName>
    <definedName name="period">BaseDatos!$C$6:$C$7</definedName>
    <definedName name="vd">Planilla!$E$18</definedName>
    <definedName name="yrs">BaseDatos!$D$6:$D$10</definedName>
  </definedNames>
  <calcPr calcId="191029"/>
  <customWorkbookViews>
    <customWorkbookView name="Sistemas y Tecnologia - Personal View" guid="{7541238E-A502-4F79-AD83-ACD46A0349E7}" mergeInterval="0" personalView="1" maximized="1" windowWidth="1020" windowHeight="605" activeSheetId="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6" i="10" l="1"/>
  <c r="P43" i="10"/>
  <c r="P44" i="10"/>
  <c r="P45" i="10"/>
  <c r="P46" i="10"/>
  <c r="P36" i="10" l="1"/>
  <c r="P37" i="10"/>
  <c r="P38" i="10"/>
  <c r="P39" i="10"/>
  <c r="P40" i="10"/>
  <c r="P41" i="10"/>
  <c r="P42" i="10"/>
  <c r="P35" i="10" l="1"/>
  <c r="C7" i="10" l="1"/>
  <c r="C9" i="10"/>
  <c r="P25" i="10"/>
  <c r="P33" i="10" l="1"/>
  <c r="P23" i="10" l="1"/>
  <c r="P30" i="10" l="1"/>
  <c r="P29" i="10" l="1"/>
  <c r="P28" i="10" l="1"/>
  <c r="P27" i="10" l="1"/>
  <c r="P34" i="10" l="1"/>
  <c r="P32" i="10"/>
  <c r="P31" i="10"/>
  <c r="P26" i="10"/>
  <c r="P24" i="10"/>
  <c r="P22" i="10"/>
  <c r="P21" i="10"/>
  <c r="P20" i="10"/>
  <c r="P19" i="10"/>
  <c r="P18" i="10"/>
  <c r="P17" i="10"/>
  <c r="P16" i="10"/>
  <c r="P15" i="10"/>
  <c r="P14" i="10"/>
  <c r="P13" i="10"/>
  <c r="P12" i="10"/>
  <c r="Q11" i="10"/>
  <c r="Q13" i="10" s="1"/>
  <c r="P11" i="10"/>
  <c r="Q10" i="10"/>
  <c r="Q12" i="10" s="1"/>
  <c r="P10" i="10"/>
  <c r="P9" i="10"/>
  <c r="P8" i="10"/>
  <c r="P7" i="10"/>
  <c r="P6" i="10"/>
  <c r="D15" i="6" l="1"/>
  <c r="D16" i="6"/>
  <c r="A18" i="6"/>
  <c r="B16" i="6"/>
  <c r="C48" i="13"/>
  <c r="C47" i="13"/>
  <c r="E47" i="13" s="1"/>
  <c r="F47" i="13" s="1"/>
  <c r="C46" i="13"/>
  <c r="C45" i="13"/>
  <c r="C44" i="13"/>
  <c r="E44" i="13" s="1"/>
  <c r="F44" i="13" s="1"/>
  <c r="C43" i="13"/>
  <c r="C42" i="13"/>
  <c r="C41" i="13"/>
  <c r="E41" i="13" s="1"/>
  <c r="F41" i="13" s="1"/>
  <c r="C40" i="13"/>
  <c r="A40" i="13"/>
  <c r="A41" i="13" s="1"/>
  <c r="A42" i="13" s="1"/>
  <c r="A43" i="13" s="1"/>
  <c r="A44" i="13" s="1"/>
  <c r="A45" i="13" s="1"/>
  <c r="A46" i="13" s="1"/>
  <c r="A47" i="13" s="1"/>
  <c r="A48" i="13" s="1"/>
  <c r="D39" i="13"/>
  <c r="C39" i="13"/>
  <c r="D31" i="13"/>
  <c r="D56" i="13" s="1"/>
  <c r="D27" i="13"/>
  <c r="D33" i="13"/>
  <c r="D26" i="13"/>
  <c r="C17" i="13"/>
  <c r="A17" i="13"/>
  <c r="D13" i="13"/>
  <c r="D32" i="13" s="1"/>
  <c r="D12" i="13"/>
  <c r="D9" i="13"/>
  <c r="D8" i="13"/>
  <c r="C58" i="11"/>
  <c r="C57" i="11"/>
  <c r="C56" i="11"/>
  <c r="C55" i="11"/>
  <c r="C54" i="11"/>
  <c r="C53" i="11"/>
  <c r="C52" i="11"/>
  <c r="E52" i="11"/>
  <c r="F52" i="11" s="1"/>
  <c r="C51" i="11"/>
  <c r="C50" i="11"/>
  <c r="C49" i="11"/>
  <c r="C48" i="11"/>
  <c r="C47" i="11"/>
  <c r="C46" i="11"/>
  <c r="C45" i="11"/>
  <c r="C44" i="11"/>
  <c r="C43" i="11"/>
  <c r="E43" i="11" s="1"/>
  <c r="F43" i="11" s="1"/>
  <c r="C42" i="11"/>
  <c r="C41" i="11"/>
  <c r="E41" i="11" s="1"/>
  <c r="F41" i="11" s="1"/>
  <c r="C40" i="11"/>
  <c r="A40" i="11"/>
  <c r="A41" i="11" s="1"/>
  <c r="A42" i="11" s="1"/>
  <c r="A43" i="11" s="1"/>
  <c r="A44" i="11" s="1"/>
  <c r="A45" i="11" s="1"/>
  <c r="A46" i="11" s="1"/>
  <c r="A47" i="11" s="1"/>
  <c r="A48" i="11" s="1"/>
  <c r="A49" i="11" s="1"/>
  <c r="A50" i="11" s="1"/>
  <c r="A51" i="11" s="1"/>
  <c r="A52" i="11" s="1"/>
  <c r="A53" i="11" s="1"/>
  <c r="A54" i="11" s="1"/>
  <c r="A55" i="11" s="1"/>
  <c r="A56" i="11" s="1"/>
  <c r="A57" i="11" s="1"/>
  <c r="A58" i="11" s="1"/>
  <c r="D39" i="11"/>
  <c r="C39" i="11"/>
  <c r="E39" i="11" s="1"/>
  <c r="D31" i="11"/>
  <c r="D27" i="11"/>
  <c r="D33" i="11"/>
  <c r="D26" i="11"/>
  <c r="E58" i="11"/>
  <c r="F58" i="11" s="1"/>
  <c r="C17" i="11"/>
  <c r="A17" i="11"/>
  <c r="D13" i="11"/>
  <c r="D32" i="11" s="1"/>
  <c r="D12" i="11"/>
  <c r="D9" i="11"/>
  <c r="D8" i="11"/>
  <c r="J12" i="7"/>
  <c r="J19" i="7" s="1"/>
  <c r="J27" i="7"/>
  <c r="J26" i="7"/>
  <c r="J25" i="7"/>
  <c r="J24" i="7"/>
  <c r="J23" i="7"/>
  <c r="I2" i="7"/>
  <c r="J2" i="7" s="1"/>
  <c r="J9" i="7" s="1"/>
  <c r="J16" i="7" s="1"/>
  <c r="J5" i="7"/>
  <c r="I7" i="7"/>
  <c r="J7" i="7" s="1"/>
  <c r="J14" i="7" s="1"/>
  <c r="J21" i="7" s="1"/>
  <c r="I6" i="7"/>
  <c r="J6" i="7" s="1"/>
  <c r="J13" i="7" s="1"/>
  <c r="J20" i="7" s="1"/>
  <c r="I4" i="7"/>
  <c r="I3" i="7"/>
  <c r="K1" i="7"/>
  <c r="K24" i="7" s="1"/>
  <c r="A3" i="7"/>
  <c r="A4" i="7" s="1"/>
  <c r="A5" i="7" s="1"/>
  <c r="A6" i="7" s="1"/>
  <c r="E40" i="13"/>
  <c r="F40" i="13" s="1"/>
  <c r="E42" i="13"/>
  <c r="F42" i="13" s="1"/>
  <c r="E43" i="13"/>
  <c r="F43" i="13"/>
  <c r="E46" i="13"/>
  <c r="F46" i="13" s="1"/>
  <c r="E56" i="11"/>
  <c r="F56" i="11"/>
  <c r="E51" i="11"/>
  <c r="F51" i="11" s="1"/>
  <c r="L1" i="7"/>
  <c r="L2" i="7" s="1"/>
  <c r="L9" i="7" s="1"/>
  <c r="L16" i="7" s="1"/>
  <c r="D34" i="13"/>
  <c r="K5" i="7"/>
  <c r="K12" i="7"/>
  <c r="K19" i="7" s="1"/>
  <c r="L27" i="7"/>
  <c r="K25" i="7" l="1"/>
  <c r="K27" i="7"/>
  <c r="E47" i="11"/>
  <c r="F47" i="11" s="1"/>
  <c r="E48" i="13"/>
  <c r="F48" i="13" s="1"/>
  <c r="G47" i="13"/>
  <c r="G27" i="10"/>
  <c r="G41" i="10"/>
  <c r="E53" i="11"/>
  <c r="F53" i="11" s="1"/>
  <c r="G46" i="13"/>
  <c r="K26" i="7"/>
  <c r="E46" i="11"/>
  <c r="F46" i="11" s="1"/>
  <c r="E55" i="11"/>
  <c r="F55" i="11" s="1"/>
  <c r="G55" i="11" s="1"/>
  <c r="E39" i="13"/>
  <c r="F39" i="13" s="1"/>
  <c r="G39" i="13" s="1"/>
  <c r="E50" i="11"/>
  <c r="F50" i="11" s="1"/>
  <c r="E57" i="11"/>
  <c r="F57" i="11" s="1"/>
  <c r="E45" i="13"/>
  <c r="F45" i="13" s="1"/>
  <c r="G43" i="13"/>
  <c r="G42" i="13"/>
  <c r="E40" i="11"/>
  <c r="F40" i="11" s="1"/>
  <c r="D40" i="11"/>
  <c r="D41" i="11" s="1"/>
  <c r="D42" i="11" s="1"/>
  <c r="D43" i="11" s="1"/>
  <c r="D44" i="11" s="1"/>
  <c r="D45" i="11" s="1"/>
  <c r="D46" i="11" s="1"/>
  <c r="D47" i="11" s="1"/>
  <c r="D48" i="11" s="1"/>
  <c r="D49" i="11" s="1"/>
  <c r="D50" i="11" s="1"/>
  <c r="D51" i="11" s="1"/>
  <c r="D52" i="11" s="1"/>
  <c r="D53" i="11" s="1"/>
  <c r="D54" i="11" s="1"/>
  <c r="D55" i="11" s="1"/>
  <c r="D56" i="11" s="1"/>
  <c r="D57" i="11" s="1"/>
  <c r="D58" i="11" s="1"/>
  <c r="J4" i="7"/>
  <c r="J11" i="7" s="1"/>
  <c r="J18" i="7" s="1"/>
  <c r="K4" i="7"/>
  <c r="K11" i="7" s="1"/>
  <c r="K18" i="7" s="1"/>
  <c r="G58" i="11"/>
  <c r="D66" i="11"/>
  <c r="D34" i="11"/>
  <c r="G48" i="13"/>
  <c r="G41" i="13"/>
  <c r="G44" i="13"/>
  <c r="L25" i="7"/>
  <c r="L24" i="7"/>
  <c r="L12" i="7"/>
  <c r="L19" i="7" s="1"/>
  <c r="L7" i="7"/>
  <c r="L14" i="7" s="1"/>
  <c r="L21" i="7" s="1"/>
  <c r="M1" i="7"/>
  <c r="L5" i="7"/>
  <c r="L3" i="7"/>
  <c r="L10" i="7" s="1"/>
  <c r="L17" i="7" s="1"/>
  <c r="G46" i="11"/>
  <c r="G40" i="13"/>
  <c r="G45" i="13"/>
  <c r="L4" i="7"/>
  <c r="L11" i="7" s="1"/>
  <c r="L18" i="7" s="1"/>
  <c r="J3" i="7"/>
  <c r="J10" i="7" s="1"/>
  <c r="J17" i="7" s="1"/>
  <c r="K3" i="7"/>
  <c r="K10" i="7" s="1"/>
  <c r="K17" i="7" s="1"/>
  <c r="L23" i="7"/>
  <c r="L26" i="7"/>
  <c r="L6" i="7"/>
  <c r="L13" i="7" s="1"/>
  <c r="L20" i="7" s="1"/>
  <c r="D40" i="13"/>
  <c r="D41" i="13" s="1"/>
  <c r="D42" i="13" s="1"/>
  <c r="D43" i="13" s="1"/>
  <c r="D44" i="13" s="1"/>
  <c r="D45" i="13" s="1"/>
  <c r="D46" i="13" s="1"/>
  <c r="D47" i="13" s="1"/>
  <c r="D48" i="13" s="1"/>
  <c r="K6" i="7"/>
  <c r="K13" i="7" s="1"/>
  <c r="K20" i="7" s="1"/>
  <c r="K23" i="7"/>
  <c r="K2" i="7"/>
  <c r="K9" i="7" s="1"/>
  <c r="K16" i="7" s="1"/>
  <c r="K7" i="7"/>
  <c r="K14" i="7" s="1"/>
  <c r="K21" i="7" s="1"/>
  <c r="E44" i="11"/>
  <c r="F44" i="11" s="1"/>
  <c r="G44" i="11" s="1"/>
  <c r="E54" i="11"/>
  <c r="F54" i="11" s="1"/>
  <c r="G54" i="11" s="1"/>
  <c r="E42" i="11"/>
  <c r="F42" i="11" s="1"/>
  <c r="G42" i="11" s="1"/>
  <c r="E48" i="11"/>
  <c r="F48" i="11" s="1"/>
  <c r="E45" i="11"/>
  <c r="F45" i="11" s="1"/>
  <c r="G45" i="11" s="1"/>
  <c r="E49" i="11"/>
  <c r="F49" i="11" s="1"/>
  <c r="G49" i="11" s="1"/>
  <c r="G20" i="10"/>
  <c r="G18" i="10"/>
  <c r="G16" i="10"/>
  <c r="G14" i="10"/>
  <c r="G11" i="10"/>
  <c r="G32" i="10"/>
  <c r="G26" i="10"/>
  <c r="G22" i="10"/>
  <c r="G12" i="10"/>
  <c r="G9" i="10"/>
  <c r="G7" i="10"/>
  <c r="G19" i="10"/>
  <c r="G17" i="10"/>
  <c r="G15" i="10"/>
  <c r="G42" i="10"/>
  <c r="G34" i="10"/>
  <c r="G31" i="10"/>
  <c r="G24" i="10"/>
  <c r="G13" i="10"/>
  <c r="G10" i="10"/>
  <c r="G8" i="10"/>
  <c r="G6" i="10"/>
  <c r="G57" i="11" l="1"/>
  <c r="G50" i="11"/>
  <c r="G53" i="11"/>
  <c r="G50" i="13"/>
  <c r="D53" i="13" s="1"/>
  <c r="D59" i="13" s="1"/>
  <c r="D62" i="13" s="1"/>
  <c r="G40" i="11"/>
  <c r="N1" i="7"/>
  <c r="M25" i="7"/>
  <c r="M3" i="7"/>
  <c r="M10" i="7" s="1"/>
  <c r="M17" i="7" s="1"/>
  <c r="M7" i="7"/>
  <c r="M14" i="7" s="1"/>
  <c r="M21" i="7" s="1"/>
  <c r="M23" i="7"/>
  <c r="M27" i="7"/>
  <c r="M5" i="7"/>
  <c r="M12" i="7" s="1"/>
  <c r="M19" i="7" s="1"/>
  <c r="M26" i="7"/>
  <c r="M2" i="7"/>
  <c r="M9" i="7" s="1"/>
  <c r="M16" i="7" s="1"/>
  <c r="M4" i="7"/>
  <c r="M11" i="7" s="1"/>
  <c r="M18" i="7" s="1"/>
  <c r="M24" i="7"/>
  <c r="M6" i="7"/>
  <c r="M13" i="7" s="1"/>
  <c r="M20" i="7" s="1"/>
  <c r="G52" i="11"/>
  <c r="G41" i="11"/>
  <c r="G51" i="11"/>
  <c r="G56" i="11"/>
  <c r="G43" i="11"/>
  <c r="G48" i="11"/>
  <c r="F39" i="11"/>
  <c r="G39" i="11" s="1"/>
  <c r="G47" i="11"/>
  <c r="C11" i="10"/>
  <c r="C14" i="10" s="1"/>
  <c r="C10" i="10"/>
  <c r="E16" i="6"/>
  <c r="C18" i="6"/>
  <c r="E15" i="6"/>
  <c r="C19" i="6"/>
  <c r="C20" i="6"/>
  <c r="N25" i="7" l="1"/>
  <c r="O1" i="7"/>
  <c r="N6" i="7"/>
  <c r="N13" i="7" s="1"/>
  <c r="N20" i="7" s="1"/>
  <c r="N3" i="7"/>
  <c r="N10" i="7" s="1"/>
  <c r="N17" i="7" s="1"/>
  <c r="N2" i="7"/>
  <c r="N9" i="7" s="1"/>
  <c r="N16" i="7" s="1"/>
  <c r="N5" i="7"/>
  <c r="N23" i="7"/>
  <c r="N24" i="7"/>
  <c r="N7" i="7"/>
  <c r="N14" i="7" s="1"/>
  <c r="N21" i="7" s="1"/>
  <c r="N27" i="7"/>
  <c r="N4" i="7"/>
  <c r="N11" i="7" s="1"/>
  <c r="N18" i="7" s="1"/>
  <c r="N12" i="7"/>
  <c r="N19" i="7" s="1"/>
  <c r="N26" i="7"/>
  <c r="G60" i="11"/>
  <c r="D63" i="11" s="1"/>
  <c r="D69" i="11" s="1"/>
  <c r="D72" i="11" s="1"/>
  <c r="C12" i="10"/>
  <c r="A19" i="6"/>
  <c r="F18" i="6"/>
  <c r="A21" i="6"/>
  <c r="E21" i="6"/>
  <c r="O2" i="7" l="1"/>
  <c r="O9" i="7" s="1"/>
  <c r="O16" i="7" s="1"/>
  <c r="O27" i="7"/>
  <c r="O5" i="7"/>
  <c r="O12" i="7" s="1"/>
  <c r="O19" i="7" s="1"/>
  <c r="O4" i="7"/>
  <c r="O11" i="7" s="1"/>
  <c r="O18" i="7" s="1"/>
  <c r="O3" i="7"/>
  <c r="O10" i="7" s="1"/>
  <c r="O17" i="7" s="1"/>
  <c r="O7" i="7"/>
  <c r="O14" i="7" s="1"/>
  <c r="O21" i="7" s="1"/>
  <c r="O23" i="7"/>
  <c r="P1" i="7"/>
  <c r="O24" i="7"/>
  <c r="O6" i="7"/>
  <c r="O13" i="7" s="1"/>
  <c r="O20" i="7" s="1"/>
  <c r="O26" i="7"/>
  <c r="O25" i="7"/>
  <c r="B25" i="6"/>
  <c r="A25" i="6"/>
  <c r="P26" i="7" l="1"/>
  <c r="Q1" i="7"/>
  <c r="P3" i="7"/>
  <c r="P10" i="7" s="1"/>
  <c r="P17" i="7" s="1"/>
  <c r="P6" i="7"/>
  <c r="P13" i="7" s="1"/>
  <c r="P20" i="7" s="1"/>
  <c r="P2" i="7"/>
  <c r="P9" i="7" s="1"/>
  <c r="P16" i="7" s="1"/>
  <c r="P12" i="7"/>
  <c r="P19" i="7" s="1"/>
  <c r="P5" i="7"/>
  <c r="P23" i="7"/>
  <c r="P24" i="7"/>
  <c r="P4" i="7"/>
  <c r="P11" i="7" s="1"/>
  <c r="P18" i="7" s="1"/>
  <c r="P25" i="7"/>
  <c r="P27" i="7"/>
  <c r="P7" i="7"/>
  <c r="P14" i="7" s="1"/>
  <c r="P21" i="7" s="1"/>
  <c r="L25" i="6"/>
  <c r="H25" i="6"/>
  <c r="C25" i="6"/>
  <c r="A26" i="6"/>
  <c r="B26" i="6" l="1"/>
  <c r="H26" i="6" s="1"/>
  <c r="Q6" i="7"/>
  <c r="Q13" i="7" s="1"/>
  <c r="Q20" i="7" s="1"/>
  <c r="Q23" i="7"/>
  <c r="Q25" i="7"/>
  <c r="Q26" i="7"/>
  <c r="Q27" i="7"/>
  <c r="Q5" i="7"/>
  <c r="Q12" i="7" s="1"/>
  <c r="Q19" i="7" s="1"/>
  <c r="R1" i="7"/>
  <c r="Q24" i="7"/>
  <c r="Q2" i="7"/>
  <c r="Q9" i="7" s="1"/>
  <c r="Q16" i="7" s="1"/>
  <c r="Q7" i="7"/>
  <c r="Q14" i="7" s="1"/>
  <c r="Q21" i="7" s="1"/>
  <c r="Q4" i="7"/>
  <c r="Q11" i="7" s="1"/>
  <c r="Q18" i="7" s="1"/>
  <c r="Q3" i="7"/>
  <c r="Q10" i="7" s="1"/>
  <c r="Q17" i="7" s="1"/>
  <c r="A27" i="6"/>
  <c r="D25" i="6"/>
  <c r="E25" i="6"/>
  <c r="B27" i="6" l="1"/>
  <c r="H27" i="6" s="1"/>
  <c r="R2" i="7"/>
  <c r="R9" i="7" s="1"/>
  <c r="R16" i="7" s="1"/>
  <c r="R23" i="7"/>
  <c r="R4" i="7"/>
  <c r="R11" i="7" s="1"/>
  <c r="R18" i="7" s="1"/>
  <c r="R26" i="7"/>
  <c r="R7" i="7"/>
  <c r="R14" i="7" s="1"/>
  <c r="R21" i="7" s="1"/>
  <c r="R5" i="7"/>
  <c r="R12" i="7"/>
  <c r="R19" i="7" s="1"/>
  <c r="R27" i="7"/>
  <c r="R6" i="7"/>
  <c r="R13" i="7" s="1"/>
  <c r="R20" i="7" s="1"/>
  <c r="R24" i="7"/>
  <c r="R25" i="7"/>
  <c r="S1" i="7"/>
  <c r="R3" i="7"/>
  <c r="R10" i="7" s="1"/>
  <c r="R17" i="7" s="1"/>
  <c r="A28" i="6"/>
  <c r="C26" i="6"/>
  <c r="L26" i="6" s="1"/>
  <c r="B28" i="6" l="1"/>
  <c r="H28" i="6" s="1"/>
  <c r="S3" i="7"/>
  <c r="S10" i="7" s="1"/>
  <c r="S17" i="7" s="1"/>
  <c r="S5" i="7"/>
  <c r="S6" i="7"/>
  <c r="S13" i="7" s="1"/>
  <c r="S20" i="7" s="1"/>
  <c r="T1" i="7"/>
  <c r="S25" i="7"/>
  <c r="S23" i="7"/>
  <c r="S12" i="7"/>
  <c r="S19" i="7" s="1"/>
  <c r="S26" i="7"/>
  <c r="S27" i="7"/>
  <c r="S7" i="7"/>
  <c r="S14" i="7" s="1"/>
  <c r="S21" i="7" s="1"/>
  <c r="S24" i="7"/>
  <c r="S4" i="7"/>
  <c r="S11" i="7" s="1"/>
  <c r="S18" i="7" s="1"/>
  <c r="S2" i="7"/>
  <c r="S9" i="7" s="1"/>
  <c r="S16" i="7" s="1"/>
  <c r="A29" i="6"/>
  <c r="D26" i="6"/>
  <c r="E26" i="6"/>
  <c r="C27" i="6"/>
  <c r="L27" i="6" s="1"/>
  <c r="B29" i="6" l="1"/>
  <c r="H29" i="6" s="1"/>
  <c r="T24" i="7"/>
  <c r="T7" i="7"/>
  <c r="T14" i="7" s="1"/>
  <c r="T21" i="7" s="1"/>
  <c r="T25" i="7"/>
  <c r="T4" i="7"/>
  <c r="T11" i="7" s="1"/>
  <c r="T18" i="7" s="1"/>
  <c r="T26" i="7"/>
  <c r="T12" i="7"/>
  <c r="T19" i="7" s="1"/>
  <c r="U1" i="7"/>
  <c r="T3" i="7"/>
  <c r="T10" i="7" s="1"/>
  <c r="T17" i="7" s="1"/>
  <c r="T6" i="7"/>
  <c r="T13" i="7" s="1"/>
  <c r="T20" i="7" s="1"/>
  <c r="T23" i="7"/>
  <c r="T5" i="7"/>
  <c r="T2" i="7"/>
  <c r="T9" i="7" s="1"/>
  <c r="T16" i="7" s="1"/>
  <c r="T27" i="7"/>
  <c r="A30" i="6"/>
  <c r="C28" i="6"/>
  <c r="L28" i="6" s="1"/>
  <c r="D27" i="6"/>
  <c r="E27" i="6"/>
  <c r="B30" i="6" l="1"/>
  <c r="H30" i="6" s="1"/>
  <c r="U5" i="7"/>
  <c r="U3" i="7"/>
  <c r="U10" i="7" s="1"/>
  <c r="U17" i="7" s="1"/>
  <c r="U27" i="7"/>
  <c r="U6" i="7"/>
  <c r="U13" i="7" s="1"/>
  <c r="U20" i="7" s="1"/>
  <c r="U4" i="7"/>
  <c r="U11" i="7" s="1"/>
  <c r="U18" i="7" s="1"/>
  <c r="U25" i="7"/>
  <c r="U23" i="7"/>
  <c r="U7" i="7"/>
  <c r="U14" i="7" s="1"/>
  <c r="U21" i="7" s="1"/>
  <c r="U2" i="7"/>
  <c r="U9" i="7" s="1"/>
  <c r="U16" i="7" s="1"/>
  <c r="U12" i="7"/>
  <c r="U19" i="7" s="1"/>
  <c r="U26" i="7"/>
  <c r="U24" i="7"/>
  <c r="A31" i="6"/>
  <c r="C29" i="6"/>
  <c r="L29" i="6" s="1"/>
  <c r="D28" i="6"/>
  <c r="E28" i="6"/>
  <c r="B31" i="6" l="1"/>
  <c r="H31" i="6" s="1"/>
  <c r="I15" i="7"/>
  <c r="A32" i="6"/>
  <c r="E29" i="6"/>
  <c r="D29" i="6"/>
  <c r="C30" i="6"/>
  <c r="L30" i="6" s="1"/>
  <c r="B32" i="6" l="1"/>
  <c r="H32" i="6" s="1"/>
  <c r="A33" i="6"/>
  <c r="D30" i="6"/>
  <c r="E30" i="6"/>
  <c r="C31" i="6"/>
  <c r="L31" i="6" s="1"/>
  <c r="B33" i="6" l="1"/>
  <c r="H33" i="6" s="1"/>
  <c r="A34" i="6"/>
  <c r="E31" i="6"/>
  <c r="D31" i="6"/>
  <c r="C32" i="6"/>
  <c r="L32" i="6" s="1"/>
  <c r="B34" i="6" l="1"/>
  <c r="H34" i="6" s="1"/>
  <c r="A35" i="6"/>
  <c r="E32" i="6"/>
  <c r="D32" i="6"/>
  <c r="C33" i="6"/>
  <c r="L33" i="6" s="1"/>
  <c r="B35" i="6" l="1"/>
  <c r="H35" i="6" s="1"/>
  <c r="A36" i="6"/>
  <c r="C34" i="6"/>
  <c r="L34" i="6" s="1"/>
  <c r="D33" i="6"/>
  <c r="E33" i="6"/>
  <c r="B36" i="6" l="1"/>
  <c r="H36" i="6" s="1"/>
  <c r="A37" i="6"/>
  <c r="C35" i="6"/>
  <c r="L35" i="6" s="1"/>
  <c r="E34" i="6"/>
  <c r="D34" i="6"/>
  <c r="B37" i="6" l="1"/>
  <c r="H37" i="6" s="1"/>
  <c r="A38" i="6"/>
  <c r="C36" i="6"/>
  <c r="L36" i="6" s="1"/>
  <c r="D35" i="6"/>
  <c r="E35" i="6"/>
  <c r="B38" i="6" l="1"/>
  <c r="A39" i="6"/>
  <c r="E36" i="6"/>
  <c r="D36" i="6"/>
  <c r="C37" i="6"/>
  <c r="L37" i="6" s="1"/>
  <c r="B39" i="6" l="1"/>
  <c r="C39" i="6" s="1"/>
  <c r="A40" i="6"/>
  <c r="H38" i="6"/>
  <c r="E37" i="6"/>
  <c r="D37" i="6"/>
  <c r="C38" i="6"/>
  <c r="L38" i="6" s="1"/>
  <c r="H39" i="6" l="1"/>
  <c r="L39" i="6"/>
  <c r="E39" i="6" s="1"/>
  <c r="B40" i="6"/>
  <c r="A41" i="6"/>
  <c r="D39" i="6"/>
  <c r="D38" i="6"/>
  <c r="E38" i="6"/>
  <c r="B41" i="6" l="1"/>
  <c r="C41" i="6" s="1"/>
  <c r="A42" i="6"/>
  <c r="C40" i="6"/>
  <c r="L40" i="6" s="1"/>
  <c r="H40" i="6"/>
  <c r="L41" i="6" l="1"/>
  <c r="E41" i="6" s="1"/>
  <c r="B42" i="6"/>
  <c r="C42" i="6" s="1"/>
  <c r="L42" i="6" s="1"/>
  <c r="D41" i="6"/>
  <c r="H41" i="6"/>
  <c r="A43" i="6"/>
  <c r="D40" i="6"/>
  <c r="E40" i="6"/>
  <c r="B43" i="6" l="1"/>
  <c r="C43" i="6" s="1"/>
  <c r="E42" i="6"/>
  <c r="D42" i="6"/>
  <c r="A44" i="6"/>
  <c r="H42" i="6"/>
  <c r="B44" i="6" l="1"/>
  <c r="C44" i="6" s="1"/>
  <c r="D44" i="6" s="1"/>
  <c r="L43" i="6"/>
  <c r="E43" i="6" s="1"/>
  <c r="H43" i="6"/>
  <c r="D43" i="6"/>
  <c r="A45" i="6"/>
  <c r="L44" i="6" l="1"/>
  <c r="E44" i="6" s="1"/>
  <c r="B45" i="6"/>
  <c r="C45" i="6" s="1"/>
  <c r="A46" i="6"/>
  <c r="H44" i="6"/>
  <c r="H45" i="6" l="1"/>
  <c r="A47" i="6"/>
  <c r="B46" i="6"/>
  <c r="C46" i="6" s="1"/>
  <c r="D45" i="6"/>
  <c r="L45" i="6"/>
  <c r="E45" i="6" s="1"/>
  <c r="L46" i="6" l="1"/>
  <c r="E46" i="6" s="1"/>
  <c r="D46" i="6"/>
  <c r="A48" i="6"/>
  <c r="B47" i="6"/>
  <c r="C47" i="6" s="1"/>
  <c r="H46" i="6"/>
  <c r="L47" i="6" l="1"/>
  <c r="E47" i="6" s="1"/>
  <c r="D47" i="6"/>
  <c r="H47" i="6"/>
  <c r="B48" i="6"/>
  <c r="C48" i="6" s="1"/>
  <c r="A49" i="6"/>
  <c r="L48" i="6" l="1"/>
  <c r="E48" i="6" s="1"/>
  <c r="D48" i="6"/>
  <c r="B49" i="6"/>
  <c r="A50" i="6"/>
  <c r="H48" i="6"/>
  <c r="C49" i="6" l="1"/>
  <c r="H49" i="6"/>
  <c r="B50" i="6"/>
  <c r="C50" i="6" s="1"/>
  <c r="A51" i="6"/>
  <c r="L50" i="6" l="1"/>
  <c r="E50" i="6" s="1"/>
  <c r="D50" i="6"/>
  <c r="H50" i="6"/>
  <c r="B51" i="6"/>
  <c r="C51" i="6" s="1"/>
  <c r="A52" i="6"/>
  <c r="L49" i="6"/>
  <c r="E49" i="6" s="1"/>
  <c r="D49" i="6"/>
  <c r="H51" i="6" l="1"/>
  <c r="B52" i="6"/>
  <c r="C52" i="6" s="1"/>
  <c r="A53" i="6"/>
  <c r="L51" i="6"/>
  <c r="E51" i="6" s="1"/>
  <c r="D51" i="6"/>
  <c r="L52" i="6" l="1"/>
  <c r="E52" i="6"/>
  <c r="D52" i="6"/>
  <c r="H52" i="6"/>
  <c r="A54" i="6"/>
  <c r="B53" i="6"/>
  <c r="C53" i="6" l="1"/>
  <c r="D53" i="6" s="1"/>
  <c r="A55" i="6"/>
  <c r="B54" i="6"/>
  <c r="C54" i="6" s="1"/>
  <c r="H53" i="6"/>
  <c r="L53" i="6" l="1"/>
  <c r="E53" i="6" s="1"/>
  <c r="L54" i="6"/>
  <c r="E54" i="6" s="1"/>
  <c r="D54" i="6"/>
  <c r="H54" i="6"/>
  <c r="B55" i="6"/>
  <c r="C55" i="6" s="1"/>
  <c r="L55" i="6" s="1"/>
  <c r="A56" i="6"/>
  <c r="H55" i="6" l="1"/>
  <c r="A57" i="6"/>
  <c r="B56" i="6"/>
  <c r="C56" i="6" s="1"/>
  <c r="L56" i="6" s="1"/>
  <c r="E55" i="6"/>
  <c r="D55" i="6"/>
  <c r="H56" i="6" l="1"/>
  <c r="E56" i="6"/>
  <c r="D56" i="6"/>
  <c r="B57" i="6"/>
  <c r="C57" i="6" s="1"/>
  <c r="L57" i="6" s="1"/>
  <c r="A58" i="6"/>
  <c r="H57" i="6" l="1"/>
  <c r="E57" i="6"/>
  <c r="D57" i="6"/>
  <c r="B58" i="6"/>
  <c r="C58" i="6" s="1"/>
  <c r="L58" i="6" s="1"/>
  <c r="A59" i="6"/>
  <c r="H58" i="6" l="1"/>
  <c r="E58" i="6"/>
  <c r="D58" i="6"/>
  <c r="B59" i="6"/>
  <c r="C59" i="6" s="1"/>
  <c r="L59" i="6" s="1"/>
  <c r="A60" i="6"/>
  <c r="H59" i="6" l="1"/>
  <c r="E59" i="6"/>
  <c r="D59" i="6"/>
  <c r="A61" i="6"/>
  <c r="B60" i="6"/>
  <c r="C60" i="6" s="1"/>
  <c r="L60" i="6" s="1"/>
  <c r="H60" i="6" l="1"/>
  <c r="B61" i="6"/>
  <c r="C61" i="6" s="1"/>
  <c r="L61" i="6" s="1"/>
  <c r="A62" i="6"/>
  <c r="D60" i="6"/>
  <c r="E60" i="6"/>
  <c r="H61" i="6" l="1"/>
  <c r="B62" i="6"/>
  <c r="C62" i="6" s="1"/>
  <c r="L62" i="6" s="1"/>
  <c r="A63" i="6"/>
  <c r="D61" i="6"/>
  <c r="E61" i="6"/>
  <c r="H62" i="6" l="1"/>
  <c r="B63" i="6"/>
  <c r="C63" i="6" s="1"/>
  <c r="L63" i="6" s="1"/>
  <c r="A64" i="6"/>
  <c r="D62" i="6"/>
  <c r="E62" i="6"/>
  <c r="B64" i="6" l="1"/>
  <c r="C64" i="6" s="1"/>
  <c r="D64" i="6" s="1"/>
  <c r="H63" i="6"/>
  <c r="A65" i="6"/>
  <c r="D63" i="6"/>
  <c r="E63" i="6"/>
  <c r="L64" i="6" l="1"/>
  <c r="E64" i="6" s="1"/>
  <c r="H64" i="6"/>
  <c r="H65" i="6"/>
  <c r="L65" i="6"/>
  <c r="A66" i="6"/>
  <c r="B65" i="6"/>
  <c r="C65" i="6" s="1"/>
  <c r="E65" i="6" l="1"/>
  <c r="D65" i="6"/>
  <c r="B66" i="6"/>
  <c r="C66" i="6" s="1"/>
  <c r="H66" i="6"/>
  <c r="L66" i="6"/>
  <c r="A67" i="6"/>
  <c r="F65" i="6" l="1"/>
  <c r="G65" i="6" s="1"/>
  <c r="D66" i="6"/>
  <c r="E66" i="6"/>
  <c r="B67" i="6"/>
  <c r="C67" i="6" s="1"/>
  <c r="H67" i="6"/>
  <c r="A68" i="6"/>
  <c r="L67" i="6"/>
  <c r="M65" i="6" l="1"/>
  <c r="F66" i="6"/>
  <c r="M66" i="6" s="1"/>
  <c r="D67" i="6"/>
  <c r="E67" i="6"/>
  <c r="B68" i="6"/>
  <c r="C68" i="6" s="1"/>
  <c r="A69" i="6"/>
  <c r="H68" i="6"/>
  <c r="L68" i="6"/>
  <c r="G66" i="6" l="1"/>
  <c r="F67" i="6"/>
  <c r="G67" i="6" s="1"/>
  <c r="B69" i="6"/>
  <c r="C69" i="6" s="1"/>
  <c r="L69" i="6"/>
  <c r="H69" i="6"/>
  <c r="A70" i="6"/>
  <c r="E68" i="6"/>
  <c r="D68" i="6"/>
  <c r="M67" i="6" l="1"/>
  <c r="F68" i="6"/>
  <c r="M68" i="6" s="1"/>
  <c r="E69" i="6"/>
  <c r="D69" i="6"/>
  <c r="B70" i="6"/>
  <c r="C70" i="6" s="1"/>
  <c r="A71" i="6"/>
  <c r="L70" i="6"/>
  <c r="H70" i="6"/>
  <c r="G68" i="6" l="1"/>
  <c r="F69" i="6"/>
  <c r="M69" i="6" s="1"/>
  <c r="A72" i="6"/>
  <c r="B71" i="6"/>
  <c r="C71" i="6" s="1"/>
  <c r="H71" i="6"/>
  <c r="L71" i="6"/>
  <c r="D70" i="6"/>
  <c r="E70" i="6"/>
  <c r="G69" i="6" l="1"/>
  <c r="F70" i="6"/>
  <c r="M70" i="6" s="1"/>
  <c r="B72" i="6"/>
  <c r="C72" i="6" s="1"/>
  <c r="H72" i="6"/>
  <c r="A73" i="6"/>
  <c r="L72" i="6"/>
  <c r="D71" i="6"/>
  <c r="E71" i="6"/>
  <c r="G70" i="6" l="1"/>
  <c r="F71" i="6"/>
  <c r="G71" i="6" s="1"/>
  <c r="H73" i="6"/>
  <c r="B73" i="6"/>
  <c r="C73" i="6" s="1"/>
  <c r="A74" i="6"/>
  <c r="L73" i="6"/>
  <c r="D72" i="6"/>
  <c r="E72" i="6"/>
  <c r="M71" i="6" l="1"/>
  <c r="F72" i="6"/>
  <c r="M72" i="6" s="1"/>
  <c r="D73" i="6"/>
  <c r="E73" i="6"/>
  <c r="L74" i="6"/>
  <c r="B74" i="6"/>
  <c r="A20" i="6" s="1"/>
  <c r="H74" i="6"/>
  <c r="F55" i="6" l="1"/>
  <c r="F56" i="6"/>
  <c r="F57" i="6"/>
  <c r="F58" i="6"/>
  <c r="F59" i="6"/>
  <c r="F60" i="6"/>
  <c r="F61" i="6"/>
  <c r="F62" i="6"/>
  <c r="F64" i="6"/>
  <c r="F63" i="6"/>
  <c r="G72" i="6"/>
  <c r="F73" i="6"/>
  <c r="M73" i="6" s="1"/>
  <c r="C74" i="6"/>
  <c r="C16" i="10"/>
  <c r="G73" i="6" l="1"/>
  <c r="F46" i="6"/>
  <c r="F51" i="6"/>
  <c r="F54" i="6"/>
  <c r="F50" i="6"/>
  <c r="F49" i="6"/>
  <c r="F48" i="6"/>
  <c r="F52" i="6"/>
  <c r="F45" i="6"/>
  <c r="F53" i="6"/>
  <c r="F39" i="6"/>
  <c r="F41" i="6"/>
  <c r="C17" i="10"/>
  <c r="F40" i="6"/>
  <c r="J19" i="6"/>
  <c r="J20" i="6" s="1"/>
  <c r="F38" i="6"/>
  <c r="F42" i="6"/>
  <c r="F37" i="6"/>
  <c r="D74" i="6"/>
  <c r="E74" i="6"/>
  <c r="F74" i="6" l="1"/>
  <c r="G74" i="6" s="1"/>
  <c r="C15" i="10"/>
  <c r="F33" i="6"/>
  <c r="F36" i="6"/>
  <c r="M59" i="6" l="1"/>
  <c r="G59" i="6" s="1"/>
  <c r="M64" i="6"/>
  <c r="G64" i="6" s="1"/>
  <c r="M55" i="6"/>
  <c r="G55" i="6" s="1"/>
  <c r="M62" i="6"/>
  <c r="G62" i="6" s="1"/>
  <c r="M58" i="6"/>
  <c r="G58" i="6" s="1"/>
  <c r="M60" i="6"/>
  <c r="G60" i="6" s="1"/>
  <c r="M56" i="6"/>
  <c r="G56" i="6" s="1"/>
  <c r="M57" i="6"/>
  <c r="G57" i="6" s="1"/>
  <c r="M63" i="6"/>
  <c r="G63" i="6" s="1"/>
  <c r="M61" i="6"/>
  <c r="G61" i="6" s="1"/>
  <c r="M42" i="6"/>
  <c r="G42" i="6" s="1"/>
  <c r="M39" i="6"/>
  <c r="G39" i="6" s="1"/>
  <c r="M41" i="6"/>
  <c r="G41" i="6" s="1"/>
  <c r="M36" i="6"/>
  <c r="G36" i="6" s="1"/>
  <c r="M37" i="6"/>
  <c r="G37" i="6" s="1"/>
  <c r="M38" i="6"/>
  <c r="G38" i="6" s="1"/>
  <c r="M40" i="6"/>
  <c r="G40" i="6" s="1"/>
  <c r="M33" i="6"/>
  <c r="N33" i="6" s="1"/>
  <c r="F47" i="6"/>
  <c r="M47" i="6" s="1"/>
  <c r="G47" i="6" s="1"/>
  <c r="F43" i="6"/>
  <c r="F29" i="6"/>
  <c r="M29" i="6" s="1"/>
  <c r="F44" i="6"/>
  <c r="M44" i="6" s="1"/>
  <c r="M74" i="6"/>
  <c r="M49" i="6"/>
  <c r="G49" i="6" s="1"/>
  <c r="M50" i="6"/>
  <c r="G50" i="6" s="1"/>
  <c r="M53" i="6"/>
  <c r="G53" i="6" s="1"/>
  <c r="M52" i="6"/>
  <c r="G52" i="6" s="1"/>
  <c r="F31" i="6"/>
  <c r="F26" i="6"/>
  <c r="M26" i="6" s="1"/>
  <c r="F34" i="6"/>
  <c r="M34" i="6" s="1"/>
  <c r="F32" i="6"/>
  <c r="M32" i="6" s="1"/>
  <c r="F35" i="6"/>
  <c r="M35" i="6" s="1"/>
  <c r="M46" i="6"/>
  <c r="G46" i="6" s="1"/>
  <c r="F30" i="6"/>
  <c r="M30" i="6" s="1"/>
  <c r="M54" i="6"/>
  <c r="G54" i="6" s="1"/>
  <c r="F25" i="6"/>
  <c r="F27" i="6"/>
  <c r="M27" i="6" s="1"/>
  <c r="F28" i="6"/>
  <c r="M51" i="6"/>
  <c r="G51" i="6" s="1"/>
  <c r="M48" i="6"/>
  <c r="G48" i="6" s="1"/>
  <c r="M45" i="6"/>
  <c r="G45" i="6" s="1"/>
  <c r="M28" i="6" l="1"/>
  <c r="G28" i="6" s="1"/>
  <c r="M31" i="6"/>
  <c r="N31" i="6" s="1"/>
  <c r="M43" i="6"/>
  <c r="G43" i="6" s="1"/>
  <c r="G27" i="6"/>
  <c r="G34" i="6"/>
  <c r="G32" i="6"/>
  <c r="G26" i="6"/>
  <c r="G30" i="6"/>
  <c r="G29" i="6"/>
  <c r="G35" i="6"/>
  <c r="G44" i="6"/>
  <c r="M25" i="6"/>
  <c r="G25" i="6" s="1"/>
  <c r="G33" i="6"/>
  <c r="N32" i="6"/>
  <c r="N34" i="6"/>
  <c r="G31" i="6" l="1"/>
  <c r="H18" i="6" s="1"/>
  <c r="H19" i="6" s="1"/>
  <c r="C19" i="10" s="1"/>
  <c r="J21" i="6" l="1"/>
  <c r="J18" i="6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jlopez</author>
  </authors>
  <commentList>
    <comment ref="D18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>Liquidación/Negociación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santamariafr</author>
    <author>Maximo Rodriguez</author>
  </authors>
  <commentList>
    <comment ref="D7" authorId="0" shapeId="0" xr:uid="{00000000-0006-0000-0100-000001000000}">
      <text>
        <r>
          <rPr>
            <b/>
            <sz val="8"/>
            <color indexed="9"/>
            <rFont val="Tahoma"/>
            <family val="2"/>
          </rPr>
          <t xml:space="preserve">
INGRESE EL RENDIMIENTO DESEADO PARA OBTENER EL PRECIO EQUIVALENTE.</t>
        </r>
      </text>
    </comment>
    <comment ref="D11" authorId="0" shapeId="0" xr:uid="{00000000-0006-0000-0100-000002000000}">
      <text>
        <r>
          <rPr>
            <b/>
            <sz val="8"/>
            <color indexed="9"/>
            <rFont val="Tahoma"/>
            <family val="2"/>
          </rPr>
          <t xml:space="preserve">
INGRESE EL MONTO DE LA OFERTA PARA DETERMINAR EL VALOR DE LA TRANSACCION.
</t>
        </r>
      </text>
    </comment>
    <comment ref="E45" authorId="1" shapeId="0" xr:uid="{00000000-0006-0000-0100-000003000000}">
      <text>
        <r>
          <rPr>
            <sz val="8"/>
            <color indexed="81"/>
            <rFont val="Tahoma"/>
            <family val="2"/>
          </rPr>
          <t>Base ajustada por año bisiesto de 366 días.</t>
        </r>
      </text>
    </comment>
    <comment ref="E46" authorId="1" shapeId="0" xr:uid="{00000000-0006-0000-0100-000004000000}">
      <text>
        <r>
          <rPr>
            <sz val="8"/>
            <color indexed="81"/>
            <rFont val="Tahoma"/>
            <family val="2"/>
          </rPr>
          <t>Base ajustada por año bisiesto de 366 días.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santamariafr</author>
    <author>jlopez</author>
  </authors>
  <commentList>
    <comment ref="D7" authorId="0" shapeId="0" xr:uid="{00000000-0006-0000-0200-000001000000}">
      <text>
        <r>
          <rPr>
            <b/>
            <sz val="8"/>
            <color indexed="9"/>
            <rFont val="Tahoma"/>
            <family val="2"/>
          </rPr>
          <t xml:space="preserve">
INGRESE EL RENDIMIENTO DESEADO PARA OBTENER EL PRECIO EQUIVALENTE.</t>
        </r>
      </text>
    </comment>
    <comment ref="D11" authorId="0" shapeId="0" xr:uid="{00000000-0006-0000-0200-000002000000}">
      <text>
        <r>
          <rPr>
            <b/>
            <sz val="8"/>
            <color indexed="9"/>
            <rFont val="Tahoma"/>
            <family val="2"/>
          </rPr>
          <t xml:space="preserve">
INGRESE EL MONTO DE LA OFERTA PARA DETERMINAR EL VALOR DE LA TRANSACCION.
</t>
        </r>
      </text>
    </comment>
    <comment ref="E55" authorId="1" shapeId="0" xr:uid="{00000000-0006-0000-0200-000003000000}">
      <text>
        <r>
          <rPr>
            <b/>
            <sz val="8"/>
            <color indexed="81"/>
            <rFont val="Tahoma"/>
            <family val="2"/>
          </rPr>
          <t>jlopez:
Before &amp; Now
Actual/Actual AFB vs. Actual/365L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mleon</author>
    <author>jlopez</author>
  </authors>
  <commentList>
    <comment ref="O5" authorId="0" shapeId="0" xr:uid="{00000000-0006-0000-0400-000001000000}">
      <text>
        <r>
          <rPr>
            <b/>
            <sz val="8"/>
            <color indexed="81"/>
            <rFont val="Tahoma"/>
            <family val="2"/>
          </rPr>
          <t>mleon:</t>
        </r>
        <r>
          <rPr>
            <sz val="8"/>
            <color indexed="81"/>
            <rFont val="Tahoma"/>
            <family val="2"/>
          </rPr>
          <t xml:space="preserve">
Anual - 1
Semestral - 2
Trimestral - 4</t>
        </r>
      </text>
    </comment>
    <comment ref="E6" authorId="1" shapeId="0" xr:uid="{00000000-0006-0000-0400-000002000000}">
      <text>
        <r>
          <rPr>
            <b/>
            <sz val="8"/>
            <color indexed="81"/>
            <rFont val="Tahoma"/>
            <family val="2"/>
          </rPr>
          <t>jlopez: user crit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19" authorId="0" shapeId="0" xr:uid="{00000000-0006-0000-0400-000003000000}">
      <text>
        <r>
          <rPr>
            <b/>
            <sz val="8"/>
            <color indexed="81"/>
            <rFont val="Tahoma"/>
            <family val="2"/>
          </rPr>
          <t xml:space="preserve">jlopez:  Macaulay modif.: -Δ%P/Δk 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<sst xmlns="http://schemas.openxmlformats.org/spreadsheetml/2006/main" count="335" uniqueCount="237">
  <si>
    <t>Días al Vencimiento</t>
  </si>
  <si>
    <t>Tasa de Rendimiento</t>
  </si>
  <si>
    <t>Cálculos para determinar el precio de las Notas del Banco Central</t>
  </si>
  <si>
    <t>Rendimiento deseado</t>
  </si>
  <si>
    <t>Precio de Cotización (limpio)</t>
  </si>
  <si>
    <t>Precio de Transacción (sucio)</t>
  </si>
  <si>
    <t>MONTO DE LA OFERTA:</t>
  </si>
  <si>
    <t>VALOR TRANSADO:</t>
  </si>
  <si>
    <t>DIAS AL VENCIMIENTO</t>
  </si>
  <si>
    <t>CARACTERISTICAS EMISION</t>
  </si>
  <si>
    <t>Fecha emision</t>
  </si>
  <si>
    <t>Fecha vencimiento</t>
  </si>
  <si>
    <t>Tasa interes</t>
  </si>
  <si>
    <t xml:space="preserve">Periodicidad Pago Cupones </t>
  </si>
  <si>
    <t>Múltiplos</t>
  </si>
  <si>
    <t>Compra a Valor Nominal</t>
  </si>
  <si>
    <t>Fecha Liquidación de la Operación</t>
  </si>
  <si>
    <t>Cálculos</t>
  </si>
  <si>
    <t>Días Acumulados</t>
  </si>
  <si>
    <t>Rendimiento Semestral</t>
  </si>
  <si>
    <t>(w)  Cupón</t>
  </si>
  <si>
    <t>Valor Transado en el Mercado Primario</t>
  </si>
  <si>
    <t>DIAS</t>
  </si>
  <si>
    <t>MONTO</t>
  </si>
  <si>
    <t xml:space="preserve">AJUSTE </t>
  </si>
  <si>
    <t>VALOR</t>
  </si>
  <si>
    <t>FLUJO</t>
  </si>
  <si>
    <t>FECHA VENCIM.</t>
  </si>
  <si>
    <t>DIAS CUPON</t>
  </si>
  <si>
    <t>VENCIM.</t>
  </si>
  <si>
    <t>CUPON (w)</t>
  </si>
  <si>
    <t>PRESENTE</t>
  </si>
  <si>
    <t>PRECIO LIMPIO:</t>
  </si>
  <si>
    <t xml:space="preserve">  ( VT- CC / VN )</t>
  </si>
  <si>
    <t>LEYENDA:</t>
  </si>
  <si>
    <t>CUPON CORRIDO</t>
  </si>
  <si>
    <r>
      <t xml:space="preserve">VT = </t>
    </r>
    <r>
      <rPr>
        <sz val="10"/>
        <rFont val="Arial"/>
        <family val="2"/>
      </rPr>
      <t xml:space="preserve"> VALOR DE TRANSACCION</t>
    </r>
  </si>
  <si>
    <t>CC= (VN* i /365*DA))</t>
  </si>
  <si>
    <r>
      <t xml:space="preserve">VN =  </t>
    </r>
    <r>
      <rPr>
        <sz val="10"/>
        <rFont val="Arial"/>
        <family val="2"/>
      </rPr>
      <t>VALOR NOMINAL</t>
    </r>
  </si>
  <si>
    <t>VALOR TRANSADO</t>
  </si>
  <si>
    <t>VT= ( VN*PRECIO LIMPIO) + CC</t>
  </si>
  <si>
    <r>
      <t>CC =</t>
    </r>
    <r>
      <rPr>
        <sz val="10"/>
        <rFont val="Arial"/>
        <family val="2"/>
      </rPr>
      <t xml:space="preserve">  CUPON CORRIDO</t>
    </r>
  </si>
  <si>
    <t>PRECIO SUCIO:</t>
  </si>
  <si>
    <r>
      <t>DA =</t>
    </r>
    <r>
      <rPr>
        <sz val="10"/>
        <rFont val="Arial"/>
        <family val="2"/>
      </rPr>
      <t xml:space="preserve">  DIAS ACUMULADOS</t>
    </r>
  </si>
  <si>
    <t xml:space="preserve">  ( VT / VN )</t>
  </si>
  <si>
    <t>Años</t>
  </si>
  <si>
    <t>Monto</t>
  </si>
  <si>
    <t>Flujo</t>
  </si>
  <si>
    <t>Fechas</t>
  </si>
  <si>
    <t>Cupón Ajust.</t>
  </si>
  <si>
    <t>Dia Fiestas</t>
  </si>
  <si>
    <t>Bisiestos</t>
  </si>
  <si>
    <t>Base</t>
  </si>
  <si>
    <t>Precio Limpio</t>
  </si>
  <si>
    <t>Precio Sucio</t>
  </si>
  <si>
    <t>Fixed</t>
  </si>
  <si>
    <t>Liturg.Mov</t>
  </si>
  <si>
    <t>Hist.Mov</t>
  </si>
  <si>
    <t>VS</t>
  </si>
  <si>
    <t>CC (J)</t>
  </si>
  <si>
    <t>Ma/Mi Bef</t>
  </si>
  <si>
    <t>J/V Aft</t>
  </si>
  <si>
    <t>(Not each 2 yrs as Elecc. 16/5)</t>
  </si>
  <si>
    <t>CC</t>
  </si>
  <si>
    <t>Tasa Interés Cupones (i)</t>
  </si>
  <si>
    <t>Periodo (d)</t>
  </si>
  <si>
    <t>Vencimiento</t>
  </si>
  <si>
    <t>Fecha de Emisión</t>
  </si>
  <si>
    <t>Cupón Corrido</t>
  </si>
  <si>
    <t>Valor Transado</t>
  </si>
  <si>
    <t>SEH12014</t>
  </si>
  <si>
    <t>DO1005216929</t>
  </si>
  <si>
    <t>Cálculos para determinar precio Certificados de Invesión de Largo Plazo del Banco Central</t>
  </si>
  <si>
    <t>Emisión Certificados a 5 años:</t>
  </si>
  <si>
    <t>DOBCCI102013</t>
  </si>
  <si>
    <t>Rendimiento Trimestral</t>
  </si>
  <si>
    <r>
      <t xml:space="preserve">VT = </t>
    </r>
    <r>
      <rPr>
        <sz val="10"/>
        <rFont val="Calibri"/>
        <family val="2"/>
      </rPr>
      <t xml:space="preserve"> VALOR DE TRANSACCION</t>
    </r>
  </si>
  <si>
    <r>
      <t xml:space="preserve">VN =  </t>
    </r>
    <r>
      <rPr>
        <sz val="10"/>
        <rFont val="Calibri"/>
        <family val="2"/>
      </rPr>
      <t>VALOR NOMINAL</t>
    </r>
  </si>
  <si>
    <r>
      <t>CC =</t>
    </r>
    <r>
      <rPr>
        <sz val="10"/>
        <rFont val="Calibri"/>
        <family val="2"/>
      </rPr>
      <t xml:space="preserve">  CUPON CORRIDO</t>
    </r>
  </si>
  <si>
    <r>
      <t>DA =</t>
    </r>
    <r>
      <rPr>
        <sz val="10"/>
        <rFont val="Calibri"/>
        <family val="2"/>
      </rPr>
      <t xml:space="preserve">  DIAS ACUMULADOS</t>
    </r>
  </si>
  <si>
    <t>Emisión Notas 5 años:</t>
  </si>
  <si>
    <t>DOBCNO082013</t>
  </si>
  <si>
    <t>CUSIP</t>
  </si>
  <si>
    <t>t</t>
  </si>
  <si>
    <t>Duration</t>
  </si>
  <si>
    <t>Monto Limpio</t>
  </si>
  <si>
    <t>REPÚBLICA DOMINICANA</t>
  </si>
  <si>
    <t>DIRECCIÓN GENERAL DE CRÉDITO PÚBLICO</t>
  </si>
  <si>
    <t>Buscar por:</t>
  </si>
  <si>
    <t>ISIN</t>
  </si>
  <si>
    <t>ID's</t>
  </si>
  <si>
    <t>Fecha Valor</t>
  </si>
  <si>
    <t>DO1005221424</t>
  </si>
  <si>
    <t>DO1005221523</t>
  </si>
  <si>
    <t>DO1005221622</t>
  </si>
  <si>
    <t>EH7969494</t>
  </si>
  <si>
    <t>EI1404587</t>
  </si>
  <si>
    <t>EI1404629</t>
  </si>
  <si>
    <t>EI1404702</t>
  </si>
  <si>
    <t>MINISTERIO DE HACIENDA</t>
  </si>
  <si>
    <t>Rendimiento (%)</t>
  </si>
  <si>
    <t>Valor Presente</t>
  </si>
  <si>
    <t>DO1005224022</t>
  </si>
  <si>
    <t>DO1005224121</t>
  </si>
  <si>
    <t>DO1005234427</t>
  </si>
  <si>
    <t>DO1005234526</t>
  </si>
  <si>
    <t>DO1005234625</t>
  </si>
  <si>
    <t>DO1005239624</t>
  </si>
  <si>
    <t>DO1005241125</t>
  </si>
  <si>
    <t>DO1005241224</t>
  </si>
  <si>
    <t>EI3487382</t>
  </si>
  <si>
    <t>DO1005224220</t>
  </si>
  <si>
    <t>EI3487549</t>
  </si>
  <si>
    <t>DO1005224329</t>
  </si>
  <si>
    <t>EI3487705</t>
  </si>
  <si>
    <t>EJ0150411</t>
  </si>
  <si>
    <t>SEH12013</t>
  </si>
  <si>
    <t>SEH12015</t>
  </si>
  <si>
    <t>ADM12016</t>
  </si>
  <si>
    <t>ADM12017</t>
  </si>
  <si>
    <t>SEH12017</t>
  </si>
  <si>
    <t>SEH22013</t>
  </si>
  <si>
    <t>SEH22015</t>
  </si>
  <si>
    <t>SEH22017</t>
  </si>
  <si>
    <t>MH12020</t>
  </si>
  <si>
    <t>MH22014</t>
  </si>
  <si>
    <t>MH12018</t>
  </si>
  <si>
    <t>Instrumento</t>
  </si>
  <si>
    <t>Para cualquier mensaje de interés, favor sirvase contactar a: infosubastas@creditopublico.gov.do</t>
  </si>
  <si>
    <t>*Complete las celdas verdes, que son los parámetros claves. Esta herramienta fue elaborado para análisis de rendimientos de bonos locales.</t>
  </si>
  <si>
    <t>Total de Cupones</t>
  </si>
  <si>
    <t>Años:</t>
  </si>
  <si>
    <t>Periodicidad:</t>
  </si>
  <si>
    <t>Total de Cupones:</t>
  </si>
  <si>
    <t>Tasa de Interes:</t>
  </si>
  <si>
    <t>Factor de Ajuste:</t>
  </si>
  <si>
    <t xml:space="preserve">    Período de pago de cupón:</t>
  </si>
  <si>
    <t xml:space="preserve">    Dias que faltan para pago de cupón:</t>
  </si>
  <si>
    <t>Monto de la Emisión</t>
  </si>
  <si>
    <t>EI8617652</t>
  </si>
  <si>
    <t>EJ0220735</t>
  </si>
  <si>
    <t>EI7026152</t>
  </si>
  <si>
    <t>EI7026319</t>
  </si>
  <si>
    <t>EI7026392</t>
  </si>
  <si>
    <t>Bono con el cual estamos trabajando:</t>
  </si>
  <si>
    <t>Ministerio de Hacienda</t>
  </si>
  <si>
    <t>Dirección General de Crédito Público</t>
  </si>
  <si>
    <t>Calculador de Bonos</t>
  </si>
  <si>
    <t>Base de Datos</t>
  </si>
  <si>
    <t>Fecha de Vencimiento</t>
  </si>
  <si>
    <t>Cupón</t>
  </si>
  <si>
    <t>Periodicidad del Cupón</t>
  </si>
  <si>
    <t>Base (días):</t>
  </si>
  <si>
    <t>Cantidad de títulos en circulación:</t>
  </si>
  <si>
    <t>Por qué formato estamos buscando el título ?</t>
  </si>
  <si>
    <t>MH12021</t>
  </si>
  <si>
    <t>MH12022</t>
  </si>
  <si>
    <t/>
  </si>
  <si>
    <t>MH12019</t>
  </si>
  <si>
    <t>DO1005241026</t>
  </si>
  <si>
    <t>MH12023</t>
  </si>
  <si>
    <t>MH12028</t>
  </si>
  <si>
    <t>MH22018</t>
  </si>
  <si>
    <t>DO1005250829</t>
  </si>
  <si>
    <t>DO1005250928</t>
  </si>
  <si>
    <t>DO1005251025</t>
  </si>
  <si>
    <t>EI3486988</t>
  </si>
  <si>
    <t>EJ5778737</t>
  </si>
  <si>
    <t>EJ5778687</t>
  </si>
  <si>
    <t>EJ0150015</t>
  </si>
  <si>
    <t>EJ5778638</t>
  </si>
  <si>
    <t>MH22019</t>
  </si>
  <si>
    <t>DO1005204115</t>
  </si>
  <si>
    <t>EK3601789</t>
  </si>
  <si>
    <t>MH2022</t>
  </si>
  <si>
    <t>DO1005204719</t>
  </si>
  <si>
    <t>EK7937767</t>
  </si>
  <si>
    <t>MH12024</t>
  </si>
  <si>
    <t>DO1005204214</t>
  </si>
  <si>
    <t>EK3601847</t>
  </si>
  <si>
    <t>MH12026</t>
  </si>
  <si>
    <t>DO1005205013</t>
  </si>
  <si>
    <t>EK9473571</t>
  </si>
  <si>
    <t>MH22028</t>
  </si>
  <si>
    <t>DO1005252429</t>
  </si>
  <si>
    <t>EJ7039344</t>
  </si>
  <si>
    <t>MH12029</t>
  </si>
  <si>
    <t>DO1005204412</t>
  </si>
  <si>
    <t>EK4185063</t>
  </si>
  <si>
    <t>**Metodología de cálculo de precios conforme a la resolución 161-15</t>
  </si>
  <si>
    <t>MH22026</t>
  </si>
  <si>
    <t>DO1005205112</t>
  </si>
  <si>
    <t>MH32026</t>
  </si>
  <si>
    <t>DO1005205310</t>
  </si>
  <si>
    <t>JV6767513</t>
  </si>
  <si>
    <t>JK9789286</t>
  </si>
  <si>
    <t>MH42026</t>
  </si>
  <si>
    <t>DO1005205419</t>
  </si>
  <si>
    <t>LW3613046</t>
  </si>
  <si>
    <t>MH12027</t>
  </si>
  <si>
    <t>DO1005205617</t>
  </si>
  <si>
    <t>AL0632789</t>
  </si>
  <si>
    <t>MH22023</t>
  </si>
  <si>
    <t>MH22022</t>
  </si>
  <si>
    <t>MH12032</t>
  </si>
  <si>
    <t>DO1005205914</t>
  </si>
  <si>
    <t>DO1005206011</t>
  </si>
  <si>
    <t>MH32028</t>
  </si>
  <si>
    <t>DO1005206516</t>
  </si>
  <si>
    <t>MH22024</t>
  </si>
  <si>
    <t>MH2-2024</t>
  </si>
  <si>
    <t>MH12034</t>
  </si>
  <si>
    <t>DO1005206623</t>
  </si>
  <si>
    <t>DO1005206722</t>
  </si>
  <si>
    <t>AN1286219</t>
  </si>
  <si>
    <t>AW4975305</t>
  </si>
  <si>
    <t>AT9450541</t>
  </si>
  <si>
    <t>AN1286227</t>
  </si>
  <si>
    <t>AW4979380</t>
  </si>
  <si>
    <t>MH22029</t>
  </si>
  <si>
    <t>-</t>
  </si>
  <si>
    <t>DO1005207027</t>
  </si>
  <si>
    <t>MH12030</t>
  </si>
  <si>
    <t>MH12035</t>
  </si>
  <si>
    <t>MH12040</t>
  </si>
  <si>
    <t>DO1005207217</t>
  </si>
  <si>
    <t>DO1005207316</t>
  </si>
  <si>
    <t>DO1005207415</t>
  </si>
  <si>
    <t>COV-2030</t>
  </si>
  <si>
    <t>COV-2035</t>
  </si>
  <si>
    <t>COV-2040</t>
  </si>
  <si>
    <t>INF-2040</t>
  </si>
  <si>
    <t>DO1005207829</t>
  </si>
  <si>
    <t>DO1005207928</t>
  </si>
  <si>
    <t>DO1005208025</t>
  </si>
  <si>
    <t>DO1005208124</t>
  </si>
  <si>
    <t>Calculador para la valoración de Bonos del Gobierno 2009-2020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</si>
</sst>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9">
    <numFmt numFmtId="41" formatCode="_(* #,##0_);_(* \(#,##0\);_(* &quot;-&quot;_);_(@_)"/>
    <numFmt numFmtId="43" formatCode="_(* #,##0.00_);_(* \(#,##0.00\);_(* &quot;-&quot;??_);_(@_)"/>
    <numFmt numFmtId="164" formatCode="0.0000%"/>
    <numFmt numFmtId="165" formatCode="_(* #,##0_);_(* \(#,##0\);_(* &quot;-&quot;??_);_(@_)"/>
    <numFmt numFmtId="166" formatCode="dd/mm/yyyy;@"/>
    <numFmt numFmtId="167" formatCode="_(* #,##0.00000_);_(* \(#,##0.00000\);_(* &quot;-&quot;?????_);_(@_)"/>
    <numFmt numFmtId="168" formatCode="_(* #,##0.00_);_(* \(#,##0.00\);_(* &quot;-&quot;?????_);_(@_)"/>
    <numFmt numFmtId="169" formatCode="0.0000"/>
    <numFmt numFmtId="170" formatCode="[$RD$-1C0A]#,##0.00_);[Red]\([$RD$-1C0A]#,##0.00\)"/>
    <numFmt numFmtId="171" formatCode="&quot;$&quot;#,##0.00"/>
    <numFmt numFmtId="172" formatCode="[$-1C0A]dddd\,\ dd&quot; de &quot;mmmm&quot; de &quot;yyyy;@"/>
    <numFmt numFmtId="173" formatCode="m\-yyyy"/>
    <numFmt numFmtId="174" formatCode="0\ &quot;días&quot;"/>
    <numFmt numFmtId="175" formatCode="0\ &quot;días al vencimiento&quot;"/>
    <numFmt numFmtId="176" formatCode="d\-m\-yyyy;@"/>
    <numFmt numFmtId="177" formatCode="0.00000"/>
    <numFmt numFmtId="178" formatCode="0.000%"/>
    <numFmt numFmtId="179" formatCode="[$-1540A]dd\-mmm\-yy;@"/>
    <numFmt numFmtId="180" formatCode="_(* #,##0.000000_);_(* \(#,##0.000000\);_(* &quot;-&quot;??_);_(@_)"/>
  </numFmts>
  <fonts count="37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2"/>
      <color indexed="9"/>
      <name val="Arial"/>
      <family val="2"/>
    </font>
    <font>
      <b/>
      <sz val="11"/>
      <color indexed="9"/>
      <name val="Arial"/>
      <family val="2"/>
    </font>
    <font>
      <sz val="10"/>
      <color indexed="9"/>
      <name val="Arial"/>
      <family val="2"/>
    </font>
    <font>
      <b/>
      <sz val="10"/>
      <color indexed="9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0"/>
      <name val="Arial"/>
      <family val="2"/>
    </font>
    <font>
      <b/>
      <sz val="8"/>
      <color indexed="9"/>
      <name val="Tahoma"/>
      <family val="2"/>
    </font>
    <font>
      <sz val="8"/>
      <color indexed="81"/>
      <name val="Tahoma"/>
      <family val="2"/>
    </font>
    <font>
      <b/>
      <sz val="10"/>
      <color indexed="9"/>
      <name val="Calibri"/>
      <family val="2"/>
    </font>
    <font>
      <b/>
      <sz val="8"/>
      <color indexed="81"/>
      <name val="Tahoma"/>
      <family val="2"/>
    </font>
    <font>
      <i/>
      <sz val="10"/>
      <name val="Arial"/>
      <family val="2"/>
    </font>
    <font>
      <sz val="10"/>
      <name val="Arial"/>
      <family val="2"/>
    </font>
    <font>
      <b/>
      <sz val="11"/>
      <color indexed="9"/>
      <name val="Calibri"/>
      <family val="2"/>
    </font>
    <font>
      <sz val="10"/>
      <name val="Calibri"/>
      <family val="2"/>
    </font>
    <font>
      <b/>
      <sz val="12"/>
      <color indexed="9"/>
      <name val="Calibri"/>
      <family val="2"/>
    </font>
    <font>
      <sz val="10"/>
      <color indexed="9"/>
      <name val="Calibri"/>
      <family val="2"/>
    </font>
    <font>
      <b/>
      <sz val="11"/>
      <name val="Calibri"/>
      <family val="2"/>
    </font>
    <font>
      <b/>
      <sz val="10"/>
      <name val="Calibri"/>
      <family val="2"/>
    </font>
    <font>
      <sz val="12"/>
      <name val="Calibri"/>
      <family val="2"/>
    </font>
    <font>
      <b/>
      <sz val="12"/>
      <name val="Calibri"/>
      <family val="2"/>
    </font>
    <font>
      <b/>
      <u/>
      <sz val="10"/>
      <name val="Calibri"/>
      <family val="2"/>
    </font>
    <font>
      <b/>
      <sz val="10"/>
      <name val="Times New Roman"/>
      <family val="1"/>
    </font>
    <font>
      <i/>
      <sz val="9"/>
      <name val="Arial"/>
      <family val="2"/>
    </font>
    <font>
      <b/>
      <u/>
      <sz val="9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sz val="10"/>
      <color theme="0"/>
      <name val="Arial"/>
      <family val="2"/>
    </font>
    <font>
      <sz val="10"/>
      <name val="Calibri"/>
      <family val="2"/>
      <scheme val="minor"/>
    </font>
    <font>
      <i/>
      <sz val="10"/>
      <color theme="0"/>
      <name val="Arial"/>
      <family val="2"/>
    </font>
    <font>
      <b/>
      <u/>
      <sz val="1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gradientFill degree="45">
        <stop position="0">
          <color theme="0"/>
        </stop>
        <stop position="1">
          <color theme="4"/>
        </stop>
      </gradientFill>
    </fill>
    <fill>
      <patternFill patternType="solid">
        <fgColor theme="4" tint="0.79998168889431442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1" fillId="0" borderId="0"/>
    <xf numFmtId="0" fontId="17" fillId="0" borderId="0"/>
    <xf numFmtId="0" fontId="2" fillId="0" borderId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83">
    <xf numFmtId="0" fontId="0" fillId="0" borderId="0" xfId="0"/>
    <xf numFmtId="14" fontId="0" fillId="0" borderId="0" xfId="0" applyNumberFormat="1"/>
    <xf numFmtId="0" fontId="2" fillId="0" borderId="0" xfId="0" applyFont="1"/>
    <xf numFmtId="14" fontId="2" fillId="0" borderId="0" xfId="0" applyNumberFormat="1" applyFont="1"/>
    <xf numFmtId="16" fontId="0" fillId="0" borderId="0" xfId="0" applyNumberFormat="1"/>
    <xf numFmtId="16" fontId="2" fillId="0" borderId="0" xfId="0" applyNumberFormat="1" applyFont="1"/>
    <xf numFmtId="0" fontId="16" fillId="0" borderId="0" xfId="0" applyFont="1"/>
    <xf numFmtId="16" fontId="32" fillId="4" borderId="0" xfId="0" applyNumberFormat="1" applyFont="1" applyFill="1"/>
    <xf numFmtId="0" fontId="32" fillId="4" borderId="0" xfId="0" applyNumberFormat="1" applyFont="1" applyFill="1"/>
    <xf numFmtId="0" fontId="33" fillId="0" borderId="0" xfId="0" applyFont="1"/>
    <xf numFmtId="43" fontId="0" fillId="0" borderId="1" xfId="1" applyFont="1" applyBorder="1"/>
    <xf numFmtId="0" fontId="19" fillId="2" borderId="0" xfId="6" applyFont="1" applyFill="1"/>
    <xf numFmtId="0" fontId="19" fillId="0" borderId="0" xfId="6" applyFont="1"/>
    <xf numFmtId="0" fontId="19" fillId="2" borderId="2" xfId="6" applyFont="1" applyFill="1" applyBorder="1"/>
    <xf numFmtId="0" fontId="19" fillId="2" borderId="3" xfId="6" applyFont="1" applyFill="1" applyBorder="1"/>
    <xf numFmtId="0" fontId="19" fillId="2" borderId="4" xfId="6" applyFont="1" applyFill="1" applyBorder="1"/>
    <xf numFmtId="0" fontId="19" fillId="2" borderId="5" xfId="6" applyFont="1" applyFill="1" applyBorder="1"/>
    <xf numFmtId="0" fontId="19" fillId="2" borderId="0" xfId="6" applyFont="1" applyFill="1" applyBorder="1"/>
    <xf numFmtId="0" fontId="19" fillId="2" borderId="6" xfId="6" applyFont="1" applyFill="1" applyBorder="1"/>
    <xf numFmtId="0" fontId="18" fillId="3" borderId="7" xfId="6" applyFont="1" applyFill="1" applyBorder="1"/>
    <xf numFmtId="0" fontId="21" fillId="3" borderId="8" xfId="6" applyFont="1" applyFill="1" applyBorder="1"/>
    <xf numFmtId="2" fontId="14" fillId="3" borderId="9" xfId="6" applyNumberFormat="1" applyFont="1" applyFill="1" applyBorder="1" applyAlignment="1">
      <alignment horizontal="center"/>
    </xf>
    <xf numFmtId="0" fontId="22" fillId="2" borderId="5" xfId="6" applyFont="1" applyFill="1" applyBorder="1"/>
    <xf numFmtId="2" fontId="23" fillId="2" borderId="0" xfId="6" applyNumberFormat="1" applyFont="1" applyFill="1" applyBorder="1" applyAlignment="1">
      <alignment horizontal="center"/>
    </xf>
    <xf numFmtId="0" fontId="22" fillId="2" borderId="0" xfId="6" applyFont="1" applyFill="1" applyBorder="1"/>
    <xf numFmtId="164" fontId="20" fillId="3" borderId="10" xfId="8" applyNumberFormat="1" applyFont="1" applyFill="1" applyBorder="1" applyProtection="1">
      <protection locked="0"/>
    </xf>
    <xf numFmtId="0" fontId="22" fillId="2" borderId="7" xfId="6" applyFont="1" applyFill="1" applyBorder="1"/>
    <xf numFmtId="0" fontId="19" fillId="2" borderId="8" xfId="6" applyFont="1" applyFill="1" applyBorder="1"/>
    <xf numFmtId="164" fontId="24" fillId="2" borderId="11" xfId="6" applyNumberFormat="1" applyFont="1" applyFill="1" applyBorder="1"/>
    <xf numFmtId="0" fontId="22" fillId="2" borderId="8" xfId="6" applyFont="1" applyFill="1" applyBorder="1"/>
    <xf numFmtId="10" fontId="25" fillId="2" borderId="8" xfId="6" applyNumberFormat="1" applyFont="1" applyFill="1" applyBorder="1"/>
    <xf numFmtId="0" fontId="23" fillId="2" borderId="7" xfId="6" applyFont="1" applyFill="1" applyBorder="1"/>
    <xf numFmtId="0" fontId="19" fillId="2" borderId="9" xfId="6" applyFont="1" applyFill="1" applyBorder="1"/>
    <xf numFmtId="39" fontId="18" fillId="3" borderId="9" xfId="2" applyNumberFormat="1" applyFont="1" applyFill="1" applyBorder="1" applyProtection="1">
      <protection locked="0"/>
    </xf>
    <xf numFmtId="165" fontId="19" fillId="2" borderId="9" xfId="2" applyNumberFormat="1" applyFont="1" applyFill="1" applyBorder="1"/>
    <xf numFmtId="0" fontId="19" fillId="2" borderId="12" xfId="6" applyFont="1" applyFill="1" applyBorder="1"/>
    <xf numFmtId="0" fontId="19" fillId="2" borderId="13" xfId="6" applyFont="1" applyFill="1" applyBorder="1"/>
    <xf numFmtId="0" fontId="19" fillId="2" borderId="14" xfId="6" applyFont="1" applyFill="1" applyBorder="1"/>
    <xf numFmtId="43" fontId="19" fillId="2" borderId="0" xfId="6" applyNumberFormat="1" applyFont="1" applyFill="1" applyBorder="1"/>
    <xf numFmtId="0" fontId="19" fillId="0" borderId="0" xfId="6" applyNumberFormat="1" applyFont="1"/>
    <xf numFmtId="14" fontId="19" fillId="0" borderId="0" xfId="6" applyNumberFormat="1" applyFont="1"/>
    <xf numFmtId="0" fontId="23" fillId="2" borderId="2" xfId="6" applyFont="1" applyFill="1" applyBorder="1"/>
    <xf numFmtId="166" fontId="23" fillId="2" borderId="4" xfId="6" applyNumberFormat="1" applyFont="1" applyFill="1" applyBorder="1"/>
    <xf numFmtId="0" fontId="23" fillId="2" borderId="5" xfId="6" applyFont="1" applyFill="1" applyBorder="1"/>
    <xf numFmtId="166" fontId="23" fillId="2" borderId="6" xfId="6" applyNumberFormat="1" applyFont="1" applyFill="1" applyBorder="1"/>
    <xf numFmtId="164" fontId="23" fillId="2" borderId="6" xfId="6" applyNumberFormat="1" applyFont="1" applyFill="1" applyBorder="1"/>
    <xf numFmtId="22" fontId="19" fillId="0" borderId="0" xfId="6" applyNumberFormat="1" applyFont="1"/>
    <xf numFmtId="2" fontId="23" fillId="2" borderId="6" xfId="6" applyNumberFormat="1" applyFont="1" applyFill="1" applyBorder="1"/>
    <xf numFmtId="0" fontId="23" fillId="2" borderId="12" xfId="6" applyFont="1" applyFill="1" applyBorder="1"/>
    <xf numFmtId="41" fontId="23" fillId="2" borderId="14" xfId="2" applyNumberFormat="1" applyFont="1" applyFill="1" applyBorder="1"/>
    <xf numFmtId="41" fontId="19" fillId="2" borderId="0" xfId="2" applyNumberFormat="1" applyFont="1" applyFill="1" applyBorder="1"/>
    <xf numFmtId="41" fontId="23" fillId="2" borderId="4" xfId="2" applyNumberFormat="1" applyFont="1" applyFill="1" applyBorder="1"/>
    <xf numFmtId="164" fontId="23" fillId="2" borderId="6" xfId="8" applyNumberFormat="1" applyFont="1" applyFill="1" applyBorder="1"/>
    <xf numFmtId="166" fontId="23" fillId="2" borderId="14" xfId="6" applyNumberFormat="1" applyFont="1" applyFill="1" applyBorder="1"/>
    <xf numFmtId="0" fontId="23" fillId="2" borderId="0" xfId="6" applyFont="1" applyFill="1" applyBorder="1"/>
    <xf numFmtId="37" fontId="19" fillId="2" borderId="4" xfId="2" applyNumberFormat="1" applyFont="1" applyFill="1" applyBorder="1"/>
    <xf numFmtId="37" fontId="19" fillId="2" borderId="6" xfId="2" applyNumberFormat="1" applyFont="1" applyFill="1" applyBorder="1"/>
    <xf numFmtId="164" fontId="19" fillId="2" borderId="6" xfId="8" applyNumberFormat="1" applyFont="1" applyFill="1" applyBorder="1"/>
    <xf numFmtId="167" fontId="19" fillId="2" borderId="14" xfId="2" applyNumberFormat="1" applyFont="1" applyFill="1" applyBorder="1"/>
    <xf numFmtId="1" fontId="19" fillId="2" borderId="0" xfId="6" applyNumberFormat="1" applyFont="1" applyFill="1" applyBorder="1"/>
    <xf numFmtId="168" fontId="19" fillId="2" borderId="0" xfId="6" applyNumberFormat="1" applyFont="1" applyFill="1" applyBorder="1"/>
    <xf numFmtId="0" fontId="21" fillId="3" borderId="15" xfId="6" applyFont="1" applyFill="1" applyBorder="1" applyAlignment="1">
      <alignment horizontal="center"/>
    </xf>
    <xf numFmtId="0" fontId="21" fillId="3" borderId="16" xfId="6" applyFont="1" applyFill="1" applyBorder="1" applyAlignment="1">
      <alignment horizontal="center"/>
    </xf>
    <xf numFmtId="0" fontId="14" fillId="3" borderId="16" xfId="6" applyFont="1" applyFill="1" applyBorder="1" applyAlignment="1">
      <alignment horizontal="center"/>
    </xf>
    <xf numFmtId="0" fontId="14" fillId="3" borderId="17" xfId="6" applyFont="1" applyFill="1" applyBorder="1" applyAlignment="1">
      <alignment horizontal="center"/>
    </xf>
    <xf numFmtId="0" fontId="14" fillId="3" borderId="18" xfId="6" applyFont="1" applyFill="1" applyBorder="1" applyAlignment="1">
      <alignment horizontal="center"/>
    </xf>
    <xf numFmtId="0" fontId="14" fillId="3" borderId="19" xfId="6" applyFont="1" applyFill="1" applyBorder="1" applyAlignment="1">
      <alignment horizontal="center"/>
    </xf>
    <xf numFmtId="0" fontId="14" fillId="3" borderId="20" xfId="6" applyFont="1" applyFill="1" applyBorder="1" applyAlignment="1">
      <alignment horizontal="center"/>
    </xf>
    <xf numFmtId="0" fontId="19" fillId="2" borderId="21" xfId="6" applyFont="1" applyFill="1" applyBorder="1" applyAlignment="1">
      <alignment horizontal="center"/>
    </xf>
    <xf numFmtId="166" fontId="19" fillId="2" borderId="22" xfId="6" applyNumberFormat="1" applyFont="1" applyFill="1" applyBorder="1" applyAlignment="1">
      <alignment horizontal="center"/>
    </xf>
    <xf numFmtId="1" fontId="19" fillId="2" borderId="22" xfId="6" applyNumberFormat="1" applyFont="1" applyFill="1" applyBorder="1" applyAlignment="1">
      <alignment horizontal="center"/>
    </xf>
    <xf numFmtId="165" fontId="19" fillId="2" borderId="22" xfId="2" applyNumberFormat="1" applyFont="1" applyFill="1" applyBorder="1" applyAlignment="1"/>
    <xf numFmtId="165" fontId="19" fillId="2" borderId="22" xfId="2" applyNumberFormat="1" applyFont="1" applyFill="1" applyBorder="1"/>
    <xf numFmtId="165" fontId="19" fillId="2" borderId="23" xfId="2" applyNumberFormat="1" applyFont="1" applyFill="1" applyBorder="1"/>
    <xf numFmtId="0" fontId="19" fillId="2" borderId="21" xfId="6" applyFont="1" applyFill="1" applyBorder="1"/>
    <xf numFmtId="1" fontId="19" fillId="2" borderId="22" xfId="6" applyNumberFormat="1" applyFont="1" applyFill="1" applyBorder="1"/>
    <xf numFmtId="0" fontId="19" fillId="2" borderId="22" xfId="6" applyFont="1" applyFill="1" applyBorder="1"/>
    <xf numFmtId="3" fontId="19" fillId="2" borderId="22" xfId="6" applyNumberFormat="1" applyFont="1" applyFill="1" applyBorder="1"/>
    <xf numFmtId="3" fontId="19" fillId="2" borderId="23" xfId="6" applyNumberFormat="1" applyFont="1" applyFill="1" applyBorder="1"/>
    <xf numFmtId="0" fontId="19" fillId="2" borderId="24" xfId="6" applyFont="1" applyFill="1" applyBorder="1"/>
    <xf numFmtId="1" fontId="19" fillId="2" borderId="25" xfId="6" applyNumberFormat="1" applyFont="1" applyFill="1" applyBorder="1"/>
    <xf numFmtId="0" fontId="19" fillId="2" borderId="25" xfId="6" applyFont="1" applyFill="1" applyBorder="1"/>
    <xf numFmtId="3" fontId="19" fillId="2" borderId="25" xfId="6" applyNumberFormat="1" applyFont="1" applyFill="1" applyBorder="1"/>
    <xf numFmtId="3" fontId="19" fillId="2" borderId="26" xfId="6" applyNumberFormat="1" applyFont="1" applyFill="1" applyBorder="1"/>
    <xf numFmtId="165" fontId="21" fillId="3" borderId="11" xfId="2" applyNumberFormat="1" applyFont="1" applyFill="1" applyBorder="1"/>
    <xf numFmtId="43" fontId="19" fillId="2" borderId="6" xfId="6" applyNumberFormat="1" applyFont="1" applyFill="1" applyBorder="1"/>
    <xf numFmtId="0" fontId="14" fillId="3" borderId="11" xfId="6" applyFont="1" applyFill="1" applyBorder="1"/>
    <xf numFmtId="4" fontId="19" fillId="2" borderId="0" xfId="6" applyNumberFormat="1" applyFont="1" applyFill="1" applyBorder="1"/>
    <xf numFmtId="0" fontId="23" fillId="0" borderId="7" xfId="6" applyFont="1" applyBorder="1"/>
    <xf numFmtId="0" fontId="23" fillId="2" borderId="8" xfId="6" applyFont="1" applyFill="1" applyBorder="1"/>
    <xf numFmtId="164" fontId="23" fillId="2" borderId="9" xfId="8" applyNumberFormat="1" applyFont="1" applyFill="1" applyBorder="1"/>
    <xf numFmtId="0" fontId="26" fillId="2" borderId="2" xfId="6" applyFont="1" applyFill="1" applyBorder="1"/>
    <xf numFmtId="0" fontId="19" fillId="0" borderId="0" xfId="6" applyFont="1" applyBorder="1"/>
    <xf numFmtId="0" fontId="19" fillId="0" borderId="5" xfId="6" applyFont="1" applyBorder="1"/>
    <xf numFmtId="165" fontId="23" fillId="2" borderId="9" xfId="2" applyNumberFormat="1" applyFont="1" applyFill="1" applyBorder="1"/>
    <xf numFmtId="0" fontId="22" fillId="0" borderId="7" xfId="6" applyFont="1" applyBorder="1" applyAlignment="1">
      <alignment horizontal="left"/>
    </xf>
    <xf numFmtId="0" fontId="22" fillId="2" borderId="8" xfId="6" applyFont="1" applyFill="1" applyBorder="1" applyAlignment="1">
      <alignment horizontal="left"/>
    </xf>
    <xf numFmtId="165" fontId="22" fillId="2" borderId="9" xfId="2" applyNumberFormat="1" applyFont="1" applyFill="1" applyBorder="1"/>
    <xf numFmtId="0" fontId="2" fillId="2" borderId="0" xfId="6" applyFill="1"/>
    <xf numFmtId="0" fontId="2" fillId="0" borderId="0" xfId="6"/>
    <xf numFmtId="0" fontId="2" fillId="2" borderId="2" xfId="6" applyFill="1" applyBorder="1"/>
    <xf numFmtId="0" fontId="2" fillId="2" borderId="3" xfId="6" applyFill="1" applyBorder="1"/>
    <xf numFmtId="0" fontId="2" fillId="2" borderId="4" xfId="6" applyFill="1" applyBorder="1"/>
    <xf numFmtId="0" fontId="2" fillId="2" borderId="5" xfId="6" applyFill="1" applyBorder="1"/>
    <xf numFmtId="0" fontId="2" fillId="2" borderId="0" xfId="6" applyFill="1" applyBorder="1"/>
    <xf numFmtId="0" fontId="2" fillId="2" borderId="6" xfId="6" applyFill="1" applyBorder="1"/>
    <xf numFmtId="0" fontId="4" fillId="3" borderId="7" xfId="6" applyFont="1" applyFill="1" applyBorder="1"/>
    <xf numFmtId="0" fontId="5" fillId="3" borderId="8" xfId="6" applyFont="1" applyFill="1" applyBorder="1"/>
    <xf numFmtId="2" fontId="6" fillId="3" borderId="9" xfId="6" applyNumberFormat="1" applyFont="1" applyFill="1" applyBorder="1" applyAlignment="1">
      <alignment horizontal="center"/>
    </xf>
    <xf numFmtId="0" fontId="7" fillId="2" borderId="5" xfId="6" applyFont="1" applyFill="1" applyBorder="1"/>
    <xf numFmtId="2" fontId="8" fillId="2" borderId="0" xfId="6" applyNumberFormat="1" applyFont="1" applyFill="1" applyBorder="1" applyAlignment="1">
      <alignment horizontal="center"/>
    </xf>
    <xf numFmtId="0" fontId="7" fillId="2" borderId="0" xfId="6" applyFont="1" applyFill="1" applyBorder="1"/>
    <xf numFmtId="164" fontId="3" fillId="3" borderId="10" xfId="8" applyNumberFormat="1" applyFont="1" applyFill="1" applyBorder="1" applyProtection="1">
      <protection locked="0"/>
    </xf>
    <xf numFmtId="0" fontId="7" fillId="2" borderId="7" xfId="6" applyFont="1" applyFill="1" applyBorder="1"/>
    <xf numFmtId="0" fontId="2" fillId="2" borderId="8" xfId="6" applyFill="1" applyBorder="1"/>
    <xf numFmtId="164" fontId="9" fillId="2" borderId="11" xfId="6" applyNumberFormat="1" applyFont="1" applyFill="1" applyBorder="1"/>
    <xf numFmtId="0" fontId="7" fillId="2" borderId="8" xfId="6" applyFont="1" applyFill="1" applyBorder="1"/>
    <xf numFmtId="10" fontId="10" fillId="2" borderId="8" xfId="6" applyNumberFormat="1" applyFont="1" applyFill="1" applyBorder="1"/>
    <xf numFmtId="0" fontId="8" fillId="2" borderId="7" xfId="6" applyFont="1" applyFill="1" applyBorder="1"/>
    <xf numFmtId="0" fontId="2" fillId="2" borderId="9" xfId="6" applyFill="1" applyBorder="1"/>
    <xf numFmtId="39" fontId="4" fillId="3" borderId="9" xfId="2" applyNumberFormat="1" applyFont="1" applyFill="1" applyBorder="1" applyProtection="1">
      <protection locked="0"/>
    </xf>
    <xf numFmtId="165" fontId="2" fillId="2" borderId="9" xfId="2" applyNumberFormat="1" applyFill="1" applyBorder="1"/>
    <xf numFmtId="0" fontId="2" fillId="2" borderId="12" xfId="6" applyFill="1" applyBorder="1"/>
    <xf numFmtId="0" fontId="2" fillId="2" borderId="13" xfId="6" applyFill="1" applyBorder="1"/>
    <xf numFmtId="0" fontId="2" fillId="2" borderId="14" xfId="6" applyFill="1" applyBorder="1"/>
    <xf numFmtId="0" fontId="6" fillId="3" borderId="7" xfId="6" applyFont="1" applyFill="1" applyBorder="1"/>
    <xf numFmtId="43" fontId="2" fillId="2" borderId="0" xfId="6" applyNumberFormat="1" applyFill="1" applyBorder="1"/>
    <xf numFmtId="0" fontId="2" fillId="0" borderId="0" xfId="6" applyNumberFormat="1"/>
    <xf numFmtId="14" fontId="2" fillId="0" borderId="0" xfId="6" applyNumberFormat="1"/>
    <xf numFmtId="0" fontId="8" fillId="2" borderId="2" xfId="6" applyFont="1" applyFill="1" applyBorder="1"/>
    <xf numFmtId="166" fontId="8" fillId="2" borderId="4" xfId="6" applyNumberFormat="1" applyFont="1" applyFill="1" applyBorder="1"/>
    <xf numFmtId="0" fontId="8" fillId="2" borderId="5" xfId="6" applyFont="1" applyFill="1" applyBorder="1"/>
    <xf numFmtId="166" fontId="8" fillId="2" borderId="6" xfId="6" applyNumberFormat="1" applyFont="1" applyFill="1" applyBorder="1"/>
    <xf numFmtId="164" fontId="8" fillId="2" borderId="6" xfId="6" applyNumberFormat="1" applyFont="1" applyFill="1" applyBorder="1"/>
    <xf numFmtId="2" fontId="8" fillId="2" borderId="6" xfId="6" applyNumberFormat="1" applyFont="1" applyFill="1" applyBorder="1"/>
    <xf numFmtId="0" fontId="8" fillId="2" borderId="12" xfId="6" applyFont="1" applyFill="1" applyBorder="1"/>
    <xf numFmtId="41" fontId="8" fillId="2" borderId="14" xfId="2" applyNumberFormat="1" applyFont="1" applyFill="1" applyBorder="1"/>
    <xf numFmtId="41" fontId="2" fillId="2" borderId="0" xfId="2" applyNumberFormat="1" applyFill="1" applyBorder="1"/>
    <xf numFmtId="41" fontId="8" fillId="2" borderId="4" xfId="2" applyNumberFormat="1" applyFont="1" applyFill="1" applyBorder="1"/>
    <xf numFmtId="164" fontId="8" fillId="2" borderId="6" xfId="8" applyNumberFormat="1" applyFont="1" applyFill="1" applyBorder="1"/>
    <xf numFmtId="166" fontId="8" fillId="2" borderId="14" xfId="6" applyNumberFormat="1" applyFont="1" applyFill="1" applyBorder="1"/>
    <xf numFmtId="0" fontId="8" fillId="2" borderId="0" xfId="6" applyFont="1" applyFill="1" applyBorder="1"/>
    <xf numFmtId="37" fontId="2" fillId="2" borderId="4" xfId="2" applyNumberFormat="1" applyFill="1" applyBorder="1"/>
    <xf numFmtId="37" fontId="2" fillId="2" borderId="6" xfId="2" applyNumberFormat="1" applyFill="1" applyBorder="1"/>
    <xf numFmtId="164" fontId="2" fillId="2" borderId="6" xfId="8" applyNumberFormat="1" applyFill="1" applyBorder="1"/>
    <xf numFmtId="167" fontId="2" fillId="2" borderId="14" xfId="2" applyNumberFormat="1" applyFill="1" applyBorder="1"/>
    <xf numFmtId="1" fontId="2" fillId="2" borderId="0" xfId="6" applyNumberFormat="1" applyFill="1" applyBorder="1"/>
    <xf numFmtId="168" fontId="2" fillId="2" borderId="0" xfId="6" applyNumberFormat="1" applyFill="1" applyBorder="1"/>
    <xf numFmtId="0" fontId="5" fillId="3" borderId="15" xfId="6" applyFont="1" applyFill="1" applyBorder="1" applyAlignment="1">
      <alignment horizontal="center"/>
    </xf>
    <xf numFmtId="0" fontId="5" fillId="3" borderId="16" xfId="6" applyFont="1" applyFill="1" applyBorder="1" applyAlignment="1">
      <alignment horizontal="center"/>
    </xf>
    <xf numFmtId="0" fontId="6" fillId="3" borderId="16" xfId="6" applyFont="1" applyFill="1" applyBorder="1" applyAlignment="1">
      <alignment horizontal="center"/>
    </xf>
    <xf numFmtId="0" fontId="6" fillId="3" borderId="17" xfId="6" applyFont="1" applyFill="1" applyBorder="1" applyAlignment="1">
      <alignment horizontal="center"/>
    </xf>
    <xf numFmtId="0" fontId="6" fillId="3" borderId="18" xfId="6" applyFont="1" applyFill="1" applyBorder="1" applyAlignment="1">
      <alignment horizontal="center"/>
    </xf>
    <xf numFmtId="0" fontId="6" fillId="3" borderId="19" xfId="6" applyFont="1" applyFill="1" applyBorder="1" applyAlignment="1">
      <alignment horizontal="center"/>
    </xf>
    <xf numFmtId="0" fontId="6" fillId="3" borderId="20" xfId="6" applyFont="1" applyFill="1" applyBorder="1" applyAlignment="1">
      <alignment horizontal="center"/>
    </xf>
    <xf numFmtId="0" fontId="2" fillId="2" borderId="21" xfId="6" applyFill="1" applyBorder="1" applyAlignment="1">
      <alignment horizontal="center"/>
    </xf>
    <xf numFmtId="166" fontId="2" fillId="2" borderId="22" xfId="6" applyNumberFormat="1" applyFill="1" applyBorder="1" applyAlignment="1">
      <alignment horizontal="center"/>
    </xf>
    <xf numFmtId="1" fontId="2" fillId="2" borderId="22" xfId="6" applyNumberFormat="1" applyFill="1" applyBorder="1" applyAlignment="1">
      <alignment horizontal="center"/>
    </xf>
    <xf numFmtId="3" fontId="2" fillId="2" borderId="22" xfId="6" applyNumberFormat="1" applyFill="1" applyBorder="1" applyAlignment="1">
      <alignment horizontal="center"/>
    </xf>
    <xf numFmtId="3" fontId="2" fillId="2" borderId="22" xfId="6" applyNumberFormat="1" applyFill="1" applyBorder="1"/>
    <xf numFmtId="1" fontId="2" fillId="2" borderId="22" xfId="6" applyNumberFormat="1" applyFill="1" applyBorder="1"/>
    <xf numFmtId="0" fontId="2" fillId="2" borderId="22" xfId="6" applyFill="1" applyBorder="1"/>
    <xf numFmtId="3" fontId="2" fillId="2" borderId="23" xfId="6" applyNumberFormat="1" applyFill="1" applyBorder="1"/>
    <xf numFmtId="1" fontId="2" fillId="2" borderId="25" xfId="6" applyNumberFormat="1" applyFill="1" applyBorder="1"/>
    <xf numFmtId="0" fontId="2" fillId="2" borderId="25" xfId="6" applyFill="1" applyBorder="1"/>
    <xf numFmtId="3" fontId="2" fillId="2" borderId="25" xfId="6" applyNumberFormat="1" applyFill="1" applyBorder="1"/>
    <xf numFmtId="3" fontId="2" fillId="2" borderId="26" xfId="6" applyNumberFormat="1" applyFill="1" applyBorder="1"/>
    <xf numFmtId="3" fontId="5" fillId="3" borderId="11" xfId="6" applyNumberFormat="1" applyFont="1" applyFill="1" applyBorder="1"/>
    <xf numFmtId="43" fontId="2" fillId="2" borderId="6" xfId="6" applyNumberFormat="1" applyFill="1" applyBorder="1"/>
    <xf numFmtId="0" fontId="6" fillId="3" borderId="11" xfId="6" applyFont="1" applyFill="1" applyBorder="1"/>
    <xf numFmtId="4" fontId="2" fillId="2" borderId="0" xfId="6" applyNumberFormat="1" applyFill="1" applyBorder="1"/>
    <xf numFmtId="0" fontId="8" fillId="0" borderId="7" xfId="6" applyFont="1" applyBorder="1"/>
    <xf numFmtId="0" fontId="8" fillId="2" borderId="8" xfId="6" applyFont="1" applyFill="1" applyBorder="1"/>
    <xf numFmtId="164" fontId="8" fillId="2" borderId="9" xfId="8" applyNumberFormat="1" applyFont="1" applyFill="1" applyBorder="1"/>
    <xf numFmtId="0" fontId="11" fillId="2" borderId="2" xfId="6" applyFont="1" applyFill="1" applyBorder="1"/>
    <xf numFmtId="0" fontId="2" fillId="0" borderId="0" xfId="6" applyBorder="1"/>
    <xf numFmtId="165" fontId="8" fillId="2" borderId="9" xfId="2" applyNumberFormat="1" applyFont="1" applyFill="1" applyBorder="1"/>
    <xf numFmtId="0" fontId="7" fillId="0" borderId="7" xfId="6" applyFont="1" applyBorder="1" applyAlignment="1">
      <alignment horizontal="left"/>
    </xf>
    <xf numFmtId="0" fontId="7" fillId="2" borderId="8" xfId="6" applyFont="1" applyFill="1" applyBorder="1" applyAlignment="1">
      <alignment horizontal="left"/>
    </xf>
    <xf numFmtId="165" fontId="7" fillId="2" borderId="9" xfId="2" applyNumberFormat="1" applyFont="1" applyFill="1" applyBorder="1"/>
    <xf numFmtId="3" fontId="2" fillId="2" borderId="22" xfId="6" applyNumberFormat="1" applyFont="1" applyFill="1" applyBorder="1"/>
    <xf numFmtId="3" fontId="0" fillId="2" borderId="23" xfId="2" applyNumberFormat="1" applyFont="1" applyFill="1" applyBorder="1"/>
    <xf numFmtId="0" fontId="2" fillId="2" borderId="24" xfId="6" applyFill="1" applyBorder="1" applyAlignment="1">
      <alignment horizontal="center"/>
    </xf>
    <xf numFmtId="43" fontId="0" fillId="0" borderId="0" xfId="1" applyFont="1"/>
    <xf numFmtId="164" fontId="0" fillId="0" borderId="1" xfId="7" applyNumberFormat="1" applyFont="1" applyBorder="1" applyAlignment="1">
      <alignment horizontal="center"/>
    </xf>
    <xf numFmtId="172" fontId="1" fillId="0" borderId="0" xfId="0" applyNumberFormat="1" applyFont="1" applyAlignment="1">
      <alignment wrapText="1"/>
    </xf>
    <xf numFmtId="0" fontId="1" fillId="0" borderId="0" xfId="0" applyFont="1"/>
    <xf numFmtId="0" fontId="8" fillId="0" borderId="0" xfId="0" applyFont="1" applyAlignment="1">
      <alignment horizontal="right" indent="1"/>
    </xf>
    <xf numFmtId="0" fontId="27" fillId="6" borderId="28" xfId="1" applyNumberFormat="1" applyFont="1" applyFill="1" applyBorder="1" applyAlignment="1">
      <alignment vertical="center" wrapText="1"/>
    </xf>
    <xf numFmtId="0" fontId="27" fillId="6" borderId="29" xfId="1" applyNumberFormat="1" applyFont="1" applyFill="1" applyBorder="1" applyAlignment="1">
      <alignment vertical="center" wrapText="1"/>
    </xf>
    <xf numFmtId="0" fontId="27" fillId="6" borderId="30" xfId="1" applyNumberFormat="1" applyFont="1" applyFill="1" applyBorder="1" applyAlignment="1">
      <alignment vertical="center" wrapText="1"/>
    </xf>
    <xf numFmtId="0" fontId="27" fillId="6" borderId="28" xfId="1" applyNumberFormat="1" applyFont="1" applyFill="1" applyBorder="1" applyAlignment="1">
      <alignment horizontal="center" vertical="center" wrapText="1"/>
    </xf>
    <xf numFmtId="0" fontId="28" fillId="0" borderId="0" xfId="0" applyFont="1"/>
    <xf numFmtId="0" fontId="27" fillId="6" borderId="31" xfId="1" applyNumberFormat="1" applyFont="1" applyFill="1" applyBorder="1" applyAlignment="1">
      <alignment horizontal="center" vertical="center" wrapText="1"/>
    </xf>
    <xf numFmtId="0" fontId="27" fillId="6" borderId="32" xfId="1" applyNumberFormat="1" applyFont="1" applyFill="1" applyBorder="1" applyAlignment="1">
      <alignment horizontal="center" vertical="center" wrapText="1"/>
    </xf>
    <xf numFmtId="164" fontId="0" fillId="0" borderId="33" xfId="7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NumberFormat="1" applyFont="1" applyBorder="1" applyAlignment="1">
      <alignment horizontal="center" vertical="center" wrapText="1"/>
    </xf>
    <xf numFmtId="0" fontId="0" fillId="0" borderId="0" xfId="0" applyFont="1"/>
    <xf numFmtId="0" fontId="0" fillId="0" borderId="0" xfId="0" applyFont="1" applyBorder="1"/>
    <xf numFmtId="0" fontId="34" fillId="0" borderId="0" xfId="0" applyFont="1"/>
    <xf numFmtId="171" fontId="0" fillId="0" borderId="1" xfId="0" applyNumberFormat="1" applyFont="1" applyBorder="1" applyAlignment="1">
      <alignment horizontal="center" vertical="center"/>
    </xf>
    <xf numFmtId="174" fontId="0" fillId="0" borderId="1" xfId="0" applyNumberFormat="1" applyFont="1" applyBorder="1"/>
    <xf numFmtId="164" fontId="1" fillId="0" borderId="35" xfId="7" applyNumberFormat="1" applyFont="1" applyFill="1" applyBorder="1"/>
    <xf numFmtId="171" fontId="0" fillId="0" borderId="36" xfId="0" applyNumberFormat="1" applyFont="1" applyBorder="1" applyAlignment="1">
      <alignment horizontal="center"/>
    </xf>
    <xf numFmtId="43" fontId="0" fillId="0" borderId="0" xfId="0" applyNumberFormat="1" applyFont="1"/>
    <xf numFmtId="0" fontId="1" fillId="0" borderId="0" xfId="0" applyNumberFormat="1" applyFont="1"/>
    <xf numFmtId="170" fontId="0" fillId="0" borderId="0" xfId="0" applyNumberFormat="1" applyFont="1"/>
    <xf numFmtId="0" fontId="0" fillId="0" borderId="0" xfId="0" applyFont="1" applyAlignment="1">
      <alignment horizontal="center"/>
    </xf>
    <xf numFmtId="171" fontId="0" fillId="0" borderId="0" xfId="0" applyNumberFormat="1" applyFont="1"/>
    <xf numFmtId="171" fontId="1" fillId="0" borderId="0" xfId="5" applyNumberFormat="1" applyFont="1"/>
    <xf numFmtId="176" fontId="1" fillId="5" borderId="27" xfId="0" applyNumberFormat="1" applyFont="1" applyFill="1" applyBorder="1" applyAlignment="1">
      <alignment horizontal="center"/>
    </xf>
    <xf numFmtId="172" fontId="1" fillId="0" borderId="0" xfId="0" applyNumberFormat="1" applyFont="1" applyAlignment="1"/>
    <xf numFmtId="0" fontId="1" fillId="0" borderId="11" xfId="0" applyFont="1" applyBorder="1" applyAlignment="1">
      <alignment horizontal="center"/>
    </xf>
    <xf numFmtId="0" fontId="1" fillId="0" borderId="0" xfId="0" applyFont="1" applyAlignment="1">
      <alignment horizontal="left"/>
    </xf>
    <xf numFmtId="2" fontId="1" fillId="0" borderId="0" xfId="0" applyNumberFormat="1" applyFont="1"/>
    <xf numFmtId="2" fontId="1" fillId="0" borderId="0" xfId="1" applyNumberFormat="1" applyFont="1"/>
    <xf numFmtId="177" fontId="1" fillId="0" borderId="0" xfId="0" applyNumberFormat="1" applyFont="1"/>
    <xf numFmtId="0" fontId="32" fillId="0" borderId="0" xfId="0" applyFont="1" applyFill="1"/>
    <xf numFmtId="0" fontId="33" fillId="0" borderId="0" xfId="0" applyFont="1" applyFill="1"/>
    <xf numFmtId="175" fontId="35" fillId="0" borderId="0" xfId="0" applyNumberFormat="1" applyFont="1"/>
    <xf numFmtId="165" fontId="33" fillId="0" borderId="0" xfId="1" applyNumberFormat="1" applyFont="1"/>
    <xf numFmtId="0" fontId="1" fillId="0" borderId="0" xfId="0" applyFont="1" applyFill="1"/>
    <xf numFmtId="0" fontId="8" fillId="0" borderId="0" xfId="0" applyFont="1"/>
    <xf numFmtId="174" fontId="28" fillId="0" borderId="0" xfId="0" applyNumberFormat="1" applyFont="1"/>
    <xf numFmtId="0" fontId="1" fillId="0" borderId="1" xfId="0" applyFont="1" applyBorder="1"/>
    <xf numFmtId="0" fontId="1" fillId="0" borderId="1" xfId="0" applyNumberFormat="1" applyFont="1" applyBorder="1"/>
    <xf numFmtId="173" fontId="1" fillId="0" borderId="1" xfId="0" applyNumberFormat="1" applyFont="1" applyFill="1" applyBorder="1"/>
    <xf numFmtId="0" fontId="8" fillId="0" borderId="1" xfId="0" applyFont="1" applyBorder="1"/>
    <xf numFmtId="0" fontId="8" fillId="0" borderId="37" xfId="0" applyFont="1" applyBorder="1" applyAlignment="1">
      <alignment horizontal="center" vertical="center" wrapText="1"/>
    </xf>
    <xf numFmtId="0" fontId="8" fillId="0" borderId="38" xfId="0" applyNumberFormat="1" applyFont="1" applyBorder="1" applyAlignment="1">
      <alignment horizontal="center" vertical="center" wrapText="1"/>
    </xf>
    <xf numFmtId="0" fontId="8" fillId="0" borderId="39" xfId="0" applyNumberFormat="1" applyFont="1" applyBorder="1" applyAlignment="1">
      <alignment horizontal="center" vertical="center"/>
    </xf>
    <xf numFmtId="0" fontId="8" fillId="0" borderId="39" xfId="0" applyFont="1" applyBorder="1" applyAlignment="1">
      <alignment horizontal="center" vertical="center"/>
    </xf>
    <xf numFmtId="0" fontId="8" fillId="0" borderId="39" xfId="0" applyFont="1" applyBorder="1" applyAlignment="1">
      <alignment horizontal="center" vertical="center" wrapText="1"/>
    </xf>
    <xf numFmtId="0" fontId="8" fillId="0" borderId="34" xfId="0" applyFont="1" applyBorder="1"/>
    <xf numFmtId="0" fontId="8" fillId="0" borderId="40" xfId="0" applyFont="1" applyBorder="1"/>
    <xf numFmtId="0" fontId="8" fillId="0" borderId="41" xfId="0" applyFont="1" applyBorder="1"/>
    <xf numFmtId="173" fontId="1" fillId="7" borderId="1" xfId="0" applyNumberFormat="1" applyFont="1" applyFill="1" applyBorder="1"/>
    <xf numFmtId="14" fontId="1" fillId="0" borderId="1" xfId="0" applyNumberFormat="1" applyFont="1" applyBorder="1"/>
    <xf numFmtId="10" fontId="1" fillId="0" borderId="1" xfId="0" applyNumberFormat="1" applyFont="1" applyBorder="1"/>
    <xf numFmtId="0" fontId="1" fillId="0" borderId="1" xfId="0" applyFont="1" applyFill="1" applyBorder="1"/>
    <xf numFmtId="43" fontId="1" fillId="0" borderId="1" xfId="1" applyFont="1" applyBorder="1"/>
    <xf numFmtId="43" fontId="1" fillId="0" borderId="1" xfId="0" applyNumberFormat="1" applyFont="1" applyBorder="1"/>
    <xf numFmtId="14" fontId="1" fillId="0" borderId="1" xfId="0" applyNumberFormat="1" applyFont="1" applyFill="1" applyBorder="1"/>
    <xf numFmtId="0" fontId="1" fillId="0" borderId="42" xfId="0" applyFont="1" applyBorder="1"/>
    <xf numFmtId="169" fontId="1" fillId="0" borderId="43" xfId="0" applyNumberFormat="1" applyFont="1" applyBorder="1"/>
    <xf numFmtId="0" fontId="1" fillId="0" borderId="43" xfId="0" applyFont="1" applyBorder="1"/>
    <xf numFmtId="0" fontId="1" fillId="0" borderId="44" xfId="0" applyFont="1" applyBorder="1"/>
    <xf numFmtId="2" fontId="1" fillId="0" borderId="1" xfId="0" applyNumberFormat="1" applyFont="1" applyBorder="1"/>
    <xf numFmtId="0" fontId="29" fillId="0" borderId="0" xfId="0" applyFont="1"/>
    <xf numFmtId="0" fontId="30" fillId="0" borderId="0" xfId="0" applyFont="1"/>
    <xf numFmtId="164" fontId="0" fillId="0" borderId="46" xfId="0" applyNumberFormat="1" applyFont="1" applyFill="1" applyBorder="1"/>
    <xf numFmtId="43" fontId="1" fillId="0" borderId="0" xfId="0" applyNumberFormat="1" applyFont="1"/>
    <xf numFmtId="0" fontId="11" fillId="0" borderId="0" xfId="0" applyFont="1" applyAlignment="1">
      <alignment horizontal="center"/>
    </xf>
    <xf numFmtId="178" fontId="1" fillId="0" borderId="1" xfId="0" applyNumberFormat="1" applyFont="1" applyBorder="1"/>
    <xf numFmtId="179" fontId="1" fillId="5" borderId="27" xfId="0" applyNumberFormat="1" applyFont="1" applyFill="1" applyBorder="1"/>
    <xf numFmtId="170" fontId="0" fillId="0" borderId="45" xfId="0" applyNumberFormat="1" applyFont="1" applyBorder="1"/>
    <xf numFmtId="170" fontId="33" fillId="0" borderId="0" xfId="0" applyNumberFormat="1" applyFont="1"/>
    <xf numFmtId="43" fontId="33" fillId="0" borderId="0" xfId="1" applyFont="1"/>
    <xf numFmtId="173" fontId="1" fillId="0" borderId="22" xfId="0" applyNumberFormat="1" applyFont="1" applyFill="1" applyBorder="1"/>
    <xf numFmtId="43" fontId="11" fillId="0" borderId="0" xfId="0" applyNumberFormat="1" applyFont="1" applyAlignment="1">
      <alignment horizontal="center"/>
    </xf>
    <xf numFmtId="180" fontId="32" fillId="0" borderId="0" xfId="1" applyNumberFormat="1" applyFont="1"/>
    <xf numFmtId="164" fontId="0" fillId="0" borderId="0" xfId="0" applyNumberFormat="1" applyFont="1"/>
    <xf numFmtId="0" fontId="32" fillId="0" borderId="0" xfId="0" applyFont="1"/>
    <xf numFmtId="179" fontId="1" fillId="0" borderId="27" xfId="0" applyNumberFormat="1" applyFont="1" applyFill="1" applyBorder="1"/>
    <xf numFmtId="179" fontId="1" fillId="0" borderId="48" xfId="0" applyNumberFormat="1" applyFont="1" applyFill="1" applyBorder="1"/>
    <xf numFmtId="43" fontId="1" fillId="0" borderId="1" xfId="1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27" fillId="6" borderId="47" xfId="1" applyNumberFormat="1" applyFont="1" applyFill="1" applyBorder="1" applyAlignment="1">
      <alignment horizontal="center" vertical="center" wrapText="1"/>
    </xf>
    <xf numFmtId="0" fontId="27" fillId="6" borderId="24" xfId="1" applyNumberFormat="1" applyFont="1" applyFill="1" applyBorder="1" applyAlignment="1">
      <alignment horizontal="center" vertical="center" wrapText="1"/>
    </xf>
    <xf numFmtId="0" fontId="3" fillId="3" borderId="7" xfId="6" applyFont="1" applyFill="1" applyBorder="1" applyAlignment="1">
      <alignment horizontal="center"/>
    </xf>
    <xf numFmtId="0" fontId="3" fillId="3" borderId="8" xfId="6" applyFont="1" applyFill="1" applyBorder="1" applyAlignment="1">
      <alignment horizontal="center"/>
    </xf>
    <xf numFmtId="0" fontId="3" fillId="3" borderId="9" xfId="6" applyFont="1" applyFill="1" applyBorder="1" applyAlignment="1">
      <alignment horizontal="center"/>
    </xf>
    <xf numFmtId="0" fontId="6" fillId="3" borderId="7" xfId="6" applyFont="1" applyFill="1" applyBorder="1" applyAlignment="1">
      <alignment horizontal="center"/>
    </xf>
    <xf numFmtId="0" fontId="6" fillId="3" borderId="9" xfId="6" applyFont="1" applyFill="1" applyBorder="1" applyAlignment="1">
      <alignment horizontal="center"/>
    </xf>
    <xf numFmtId="0" fontId="6" fillId="3" borderId="8" xfId="6" applyFont="1" applyFill="1" applyBorder="1" applyAlignment="1">
      <alignment horizontal="center"/>
    </xf>
    <xf numFmtId="0" fontId="20" fillId="3" borderId="7" xfId="6" applyFont="1" applyFill="1" applyBorder="1" applyAlignment="1">
      <alignment horizontal="center"/>
    </xf>
    <xf numFmtId="0" fontId="20" fillId="3" borderId="8" xfId="6" applyFont="1" applyFill="1" applyBorder="1" applyAlignment="1">
      <alignment horizontal="center"/>
    </xf>
    <xf numFmtId="0" fontId="20" fillId="3" borderId="9" xfId="6" applyFont="1" applyFill="1" applyBorder="1" applyAlignment="1">
      <alignment horizontal="center"/>
    </xf>
    <xf numFmtId="0" fontId="14" fillId="3" borderId="7" xfId="6" applyFont="1" applyFill="1" applyBorder="1" applyAlignment="1">
      <alignment horizontal="center"/>
    </xf>
    <xf numFmtId="0" fontId="14" fillId="3" borderId="9" xfId="6" applyFont="1" applyFill="1" applyBorder="1" applyAlignment="1">
      <alignment horizontal="center"/>
    </xf>
    <xf numFmtId="0" fontId="14" fillId="3" borderId="8" xfId="6" applyFont="1" applyFill="1" applyBorder="1" applyAlignment="1">
      <alignment horizontal="center"/>
    </xf>
    <xf numFmtId="0" fontId="36" fillId="0" borderId="0" xfId="6" applyFont="1" applyAlignment="1">
      <alignment horizontal="center"/>
    </xf>
  </cellXfs>
  <cellStyles count="10">
    <cellStyle name="Comma" xfId="1" builtinId="3"/>
    <cellStyle name="Comma 2" xfId="2" xr:uid="{00000000-0005-0000-0000-000001000000}"/>
    <cellStyle name="Millares 2" xfId="3" xr:uid="{00000000-0005-0000-0000-000002000000}"/>
    <cellStyle name="Normal" xfId="0" builtinId="0"/>
    <cellStyle name="Normal 2" xfId="4" xr:uid="{00000000-0005-0000-0000-000004000000}"/>
    <cellStyle name="Normal 3" xfId="5" xr:uid="{00000000-0005-0000-0000-000005000000}"/>
    <cellStyle name="Normal 4" xfId="6" xr:uid="{00000000-0005-0000-0000-000006000000}"/>
    <cellStyle name="Percent" xfId="7" builtinId="5"/>
    <cellStyle name="Percent 2" xfId="8" xr:uid="{00000000-0005-0000-0000-000008000000}"/>
    <cellStyle name="Porcentual 2" xfId="9" xr:uid="{00000000-0005-0000-0000-000009000000}"/>
  </cellStyles>
  <dxfs count="11">
    <dxf>
      <fill>
        <patternFill>
          <bgColor theme="8" tint="0.399945066682943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theme="8" tint="0.399945066682943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73" formatCode="m\-yyyy"/>
    </dxf>
    <dxf>
      <numFmt numFmtId="173" formatCode="m\-yyyy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/>
        <color theme="3"/>
      </font>
    </dxf>
    <dxf>
      <font>
        <color theme="0"/>
      </font>
    </dxf>
    <dxf>
      <font>
        <b val="0"/>
        <i val="0"/>
        <color theme="0"/>
      </font>
    </dxf>
    <dxf>
      <font>
        <b/>
        <i val="0"/>
        <color rgb="FFFF0000"/>
        <name val="Cambria"/>
        <scheme val="none"/>
      </font>
      <fill>
        <patternFill patternType="none">
          <bgColor indexed="65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theme="8" tint="0.399945066682943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1419225</xdr:colOff>
      <xdr:row>0</xdr:row>
      <xdr:rowOff>47625</xdr:rowOff>
    </xdr:from>
    <xdr:to>
      <xdr:col>5</xdr:col>
      <xdr:colOff>330201</xdr:colOff>
      <xdr:row>3</xdr:row>
      <xdr:rowOff>131059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6F7D6DDC-DE17-4C1A-AC7D-718DC526079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8013" b="-2220"/>
        <a:stretch/>
      </xdr:blipFill>
      <xdr:spPr>
        <a:xfrm>
          <a:off x="6229350" y="47625"/>
          <a:ext cx="625476" cy="56920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lp\data\DR_Calc%201_ACTAC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15">
          <cell r="E15">
            <v>0.70652173913043481</v>
          </cell>
        </row>
        <row r="16">
          <cell r="E16">
            <v>1.7065217391304348</v>
          </cell>
        </row>
        <row r="17">
          <cell r="E17">
            <v>2.7065217391304346</v>
          </cell>
        </row>
        <row r="18">
          <cell r="E18">
            <v>3.7065217391304346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2"/>
  <dimension ref="A2:IO79"/>
  <sheetViews>
    <sheetView showGridLines="0" tabSelected="1" zoomScaleNormal="100" workbookViewId="0">
      <selection activeCell="C16" sqref="C16"/>
    </sheetView>
  </sheetViews>
  <sheetFormatPr defaultColWidth="0" defaultRowHeight="12.75" outlineLevelCol="1" x14ac:dyDescent="0.2"/>
  <cols>
    <col min="1" max="1" width="5.5703125" style="198" bestFit="1" customWidth="1"/>
    <col min="2" max="2" width="32.85546875" style="198" customWidth="1"/>
    <col min="3" max="3" width="15.42578125" style="198" customWidth="1"/>
    <col min="4" max="4" width="18.28515625" style="198" customWidth="1"/>
    <col min="5" max="5" width="25.7109375" style="198" bestFit="1" customWidth="1"/>
    <col min="6" max="7" width="22.28515625" style="198" bestFit="1" customWidth="1"/>
    <col min="8" max="8" width="19.28515625" style="198" bestFit="1" customWidth="1"/>
    <col min="9" max="9" width="14.7109375" style="198" customWidth="1"/>
    <col min="10" max="10" width="18.42578125" style="198" bestFit="1" customWidth="1"/>
    <col min="11" max="11" width="15" style="198" hidden="1" customWidth="1"/>
    <col min="12" max="12" width="10.7109375" style="198" hidden="1" customWidth="1" outlineLevel="1"/>
    <col min="13" max="13" width="11.42578125" style="198" hidden="1" customWidth="1" outlineLevel="1" collapsed="1"/>
    <col min="14" max="17" width="10.7109375" style="198" hidden="1" customWidth="1"/>
    <col min="18" max="18" width="2.140625" style="198" hidden="1" customWidth="1"/>
    <col min="19" max="19" width="10.85546875" style="198" hidden="1" customWidth="1"/>
    <col min="20" max="20" width="6" style="198" hidden="1" customWidth="1"/>
    <col min="21" max="21" width="4.85546875" style="198" hidden="1" customWidth="1"/>
    <col min="22" max="22" width="4.42578125" style="198" hidden="1" customWidth="1"/>
    <col min="23" max="23" width="4.7109375" style="198" hidden="1" customWidth="1"/>
    <col min="24" max="24" width="3.7109375" style="198" hidden="1" customWidth="1"/>
    <col min="25" max="26" width="5.28515625" style="198" hidden="1" customWidth="1"/>
    <col min="27" max="249" width="9.140625" style="198" hidden="1" customWidth="1"/>
    <col min="250" max="16384" width="8" style="198" hidden="1"/>
  </cols>
  <sheetData>
    <row r="2" spans="1:16" x14ac:dyDescent="0.2">
      <c r="C2" s="218"/>
      <c r="D2" s="218"/>
      <c r="E2" s="199"/>
    </row>
    <row r="3" spans="1:16" x14ac:dyDescent="0.2">
      <c r="E3" s="196"/>
      <c r="H3" s="200"/>
    </row>
    <row r="4" spans="1:16" x14ac:dyDescent="0.2">
      <c r="E4" s="199"/>
      <c r="H4" s="200"/>
      <c r="I4" s="200"/>
    </row>
    <row r="5" spans="1:16" x14ac:dyDescent="0.2">
      <c r="A5" s="267" t="s">
        <v>87</v>
      </c>
      <c r="B5" s="267"/>
      <c r="C5" s="267"/>
      <c r="D5" s="267"/>
      <c r="E5" s="267"/>
      <c r="F5" s="267"/>
      <c r="G5" s="267"/>
      <c r="H5" s="267"/>
      <c r="I5" s="267"/>
      <c r="J5" s="267"/>
    </row>
    <row r="6" spans="1:16" x14ac:dyDescent="0.2">
      <c r="A6" s="267" t="s">
        <v>99</v>
      </c>
      <c r="B6" s="267"/>
      <c r="C6" s="267"/>
      <c r="D6" s="267"/>
      <c r="E6" s="267"/>
      <c r="F6" s="267"/>
      <c r="G6" s="267"/>
      <c r="H6" s="267"/>
      <c r="I6" s="267"/>
      <c r="J6" s="267"/>
    </row>
    <row r="7" spans="1:16" x14ac:dyDescent="0.2">
      <c r="A7" s="267" t="s">
        <v>86</v>
      </c>
      <c r="B7" s="267"/>
      <c r="C7" s="267"/>
      <c r="D7" s="267"/>
      <c r="E7" s="267"/>
      <c r="F7" s="267"/>
      <c r="G7" s="267"/>
      <c r="H7" s="267"/>
      <c r="I7" s="267"/>
      <c r="J7" s="267"/>
    </row>
    <row r="8" spans="1:16" x14ac:dyDescent="0.2">
      <c r="D8" s="186"/>
      <c r="F8" s="186"/>
    </row>
    <row r="9" spans="1:16" ht="15.75" x14ac:dyDescent="0.25">
      <c r="A9" s="282" t="s">
        <v>236</v>
      </c>
      <c r="B9" s="282"/>
      <c r="C9" s="282"/>
      <c r="D9" s="282"/>
      <c r="E9" s="282"/>
      <c r="F9" s="282"/>
      <c r="G9" s="282"/>
      <c r="H9" s="282"/>
      <c r="I9" s="282"/>
      <c r="J9" s="282"/>
    </row>
    <row r="10" spans="1:16" x14ac:dyDescent="0.2">
      <c r="A10" s="253"/>
      <c r="B10" s="253"/>
      <c r="C10" s="253"/>
      <c r="D10" s="253"/>
      <c r="E10" s="253"/>
      <c r="F10" s="253"/>
      <c r="G10" s="253"/>
      <c r="H10" s="253"/>
      <c r="I10" s="253"/>
      <c r="J10" s="253"/>
    </row>
    <row r="11" spans="1:16" x14ac:dyDescent="0.2">
      <c r="A11" s="253"/>
      <c r="B11" s="212" t="s">
        <v>129</v>
      </c>
      <c r="C11" s="253"/>
      <c r="D11" s="253"/>
      <c r="E11" s="253"/>
      <c r="F11" s="253"/>
      <c r="G11" s="253"/>
      <c r="H11" s="260"/>
      <c r="I11" s="253"/>
      <c r="J11" s="253"/>
    </row>
    <row r="12" spans="1:16" x14ac:dyDescent="0.2">
      <c r="A12" s="253"/>
      <c r="B12" s="212" t="s">
        <v>128</v>
      </c>
      <c r="C12" s="253"/>
      <c r="D12" s="253"/>
      <c r="E12" s="253"/>
      <c r="F12" s="253"/>
      <c r="G12" s="253"/>
      <c r="H12" s="253"/>
      <c r="I12" s="253"/>
      <c r="J12" s="253"/>
    </row>
    <row r="13" spans="1:16" x14ac:dyDescent="0.2">
      <c r="A13" s="253"/>
      <c r="B13" s="212" t="s">
        <v>189</v>
      </c>
      <c r="C13" s="253"/>
      <c r="D13" s="253"/>
      <c r="E13" s="253"/>
      <c r="F13" s="253"/>
      <c r="G13" s="253"/>
      <c r="H13" s="253"/>
      <c r="I13" s="253"/>
      <c r="J13" s="253"/>
    </row>
    <row r="14" spans="1:16" ht="4.5" customHeight="1" thickBot="1" x14ac:dyDescent="0.25">
      <c r="A14" s="253"/>
      <c r="C14" s="253"/>
      <c r="D14" s="253"/>
      <c r="E14" s="253"/>
      <c r="F14" s="253"/>
      <c r="G14" s="253"/>
      <c r="H14" s="253"/>
      <c r="I14" s="253"/>
      <c r="J14" s="253"/>
    </row>
    <row r="15" spans="1:16" ht="13.5" thickBot="1" x14ac:dyDescent="0.25">
      <c r="A15" s="186"/>
      <c r="B15" s="187" t="s">
        <v>88</v>
      </c>
      <c r="C15" s="213" t="s">
        <v>127</v>
      </c>
      <c r="D15" s="187" t="str">
        <f>IF(C16="","",IF(C15="Instrumento","CUSIP:",IF(C15="ISIN","CUSIP:","ISIN:")))</f>
        <v>CUSIP:</v>
      </c>
      <c r="E15" s="196" t="str">
        <f>+IF(C16="","",IF(OR(C15="Instrumento",C15="ISIN"),VLOOKUP(C16,BaseDatos!$G$6:$J$216,4,FALSE),VLOOKUP(C16,BaseDatos!$G$6:$J$216,3,FALSE)))</f>
        <v>-</v>
      </c>
      <c r="G15" s="214"/>
      <c r="H15" s="186"/>
    </row>
    <row r="16" spans="1:16" x14ac:dyDescent="0.2">
      <c r="A16" s="219"/>
      <c r="B16" s="187" t="str">
        <f>C15&amp;":"</f>
        <v>Instrumento:</v>
      </c>
      <c r="C16" s="211" t="s">
        <v>224</v>
      </c>
      <c r="D16" s="187" t="str">
        <f>IF(C16="","",IF(C15="Instrumento","ISIN:",IF(C15="ISIN","Instrumento:","Instrumento:")))</f>
        <v>ISIN:</v>
      </c>
      <c r="E16" s="197" t="str">
        <f>+IF(C16="","",IF(OR(C15="ISIN",C15="CUSIP"),VLOOKUP(C16,BaseDatos!$G$6:$J$216,2,FALSE),VLOOKUP(C16,BaseDatos!$G$6:$J$216,3,FALSE)))</f>
        <v>DO1005207415</v>
      </c>
      <c r="G16" s="214"/>
      <c r="H16" s="186"/>
      <c r="O16" s="186"/>
      <c r="P16" s="186"/>
    </row>
    <row r="17" spans="1:17" ht="13.5" thickBot="1" x14ac:dyDescent="0.25">
      <c r="A17" s="9"/>
      <c r="B17"/>
      <c r="F17" s="186"/>
      <c r="H17" s="186"/>
    </row>
    <row r="18" spans="1:17" ht="13.5" thickBot="1" x14ac:dyDescent="0.25">
      <c r="A18" s="219">
        <f>IF(C15="",0,MATCH($C$15,BaseDatos!H5:J5,0))</f>
        <v>1</v>
      </c>
      <c r="B18" s="188" t="s">
        <v>66</v>
      </c>
      <c r="C18" s="264">
        <f>IF(C16="","",VLOOKUP(C16,BaseDatos!$G$6:$M$216,5,FALSE))</f>
        <v>51141</v>
      </c>
      <c r="D18" s="188" t="s">
        <v>91</v>
      </c>
      <c r="E18" s="255">
        <v>43845</v>
      </c>
      <c r="F18" s="9" t="e">
        <f>IF(C18="","",VLOOKUP(Planilla!C16,BaseDatos!$G$6:$Q$31,11,FALSE))</f>
        <v>#N/A</v>
      </c>
      <c r="G18" s="193" t="s">
        <v>53</v>
      </c>
      <c r="H18" s="195">
        <f ca="1">IF(SUM(G25:G74)=0,"",ROUND(SUM(G25:G74)/E19,6))</f>
        <v>1.166237</v>
      </c>
      <c r="I18" s="194" t="s">
        <v>54</v>
      </c>
      <c r="J18" s="184">
        <f ca="1">IF(OR(J21="",E19=0),"",J21/E19)</f>
        <v>1.1690341299999998</v>
      </c>
      <c r="K18" s="186"/>
    </row>
    <row r="19" spans="1:17" ht="12.75" customHeight="1" x14ac:dyDescent="0.2">
      <c r="A19" s="219">
        <f>IF(OR(C18="",E19=""),"",12/BaseDatos!C11)</f>
        <v>6</v>
      </c>
      <c r="B19" s="189" t="s">
        <v>67</v>
      </c>
      <c r="C19" s="265">
        <f>IF(C16="","",VLOOKUP(C16,BaseDatos!$G$6:$M$216,6,FALSE))</f>
        <v>43836</v>
      </c>
      <c r="D19" s="189" t="s">
        <v>46</v>
      </c>
      <c r="E19" s="256">
        <v>1000000</v>
      </c>
      <c r="F19" s="221"/>
      <c r="G19" s="193" t="s">
        <v>85</v>
      </c>
      <c r="H19" s="201">
        <f ca="1">IF(H18="","",H18*mon)</f>
        <v>1166237</v>
      </c>
      <c r="I19" s="268" t="s">
        <v>68</v>
      </c>
      <c r="J19" s="202">
        <f>IF(OR(vd=0,mon=0,C18="",COUNTIF($B$25:$B$74,vd)=1),0,IF(A20=0,vd-C19,vd-INDEX($B$25:$B$74,A20)))</f>
        <v>9</v>
      </c>
      <c r="O19" s="186"/>
      <c r="P19" s="186"/>
      <c r="Q19" s="186"/>
    </row>
    <row r="20" spans="1:17" ht="13.5" customHeight="1" thickBot="1" x14ac:dyDescent="0.25">
      <c r="A20" s="219">
        <f>IF(mon="","",IF(vd&lt;=B25,0,MATCH(vd,B25:B74)))</f>
        <v>0</v>
      </c>
      <c r="B20" s="190" t="s">
        <v>64</v>
      </c>
      <c r="C20" s="203">
        <f>IF(C16="","",VLOOKUP(C16,BaseDatos!$G$6:$M$216,7,FALSE))</f>
        <v>0.11375</v>
      </c>
      <c r="D20" s="190" t="s">
        <v>100</v>
      </c>
      <c r="E20" s="251">
        <v>9.5000000000000001E-2</v>
      </c>
      <c r="F20" s="9"/>
      <c r="I20" s="269"/>
      <c r="J20" s="10">
        <f>IF(OR(A19="",vd=""),0,E19*J19*C20/(INDEX($L$25:$L$74,A20+1)))</f>
        <v>2797.1311475409834</v>
      </c>
      <c r="O20" s="186"/>
      <c r="P20" s="186"/>
      <c r="Q20" s="186"/>
    </row>
    <row r="21" spans="1:17" x14ac:dyDescent="0.2">
      <c r="A21" s="219">
        <f>1*(COUNT(C18,vd,mon,E20)=4)</f>
        <v>1</v>
      </c>
      <c r="B21" s="186"/>
      <c r="C21" s="186"/>
      <c r="D21" s="186"/>
      <c r="E21" s="220">
        <f>IF(OR(C18="",vd=0),"",C18-vd)</f>
        <v>7296</v>
      </c>
      <c r="F21" s="186"/>
      <c r="I21" s="191" t="s">
        <v>69</v>
      </c>
      <c r="J21" s="204">
        <f ca="1">IF(H18="","",H19+ROUND(J20,2))</f>
        <v>1169034.1299999999</v>
      </c>
      <c r="K21" s="186"/>
      <c r="O21" s="186"/>
      <c r="P21" s="186"/>
      <c r="Q21" s="186"/>
    </row>
    <row r="22" spans="1:17" x14ac:dyDescent="0.2">
      <c r="A22" s="186"/>
      <c r="B22" s="216"/>
      <c r="C22" s="186"/>
      <c r="D22" s="215"/>
      <c r="E22" s="217"/>
      <c r="F22" s="186"/>
      <c r="G22" s="206"/>
      <c r="L22" s="207"/>
      <c r="N22" s="186"/>
      <c r="O22" s="186"/>
      <c r="P22" s="186"/>
      <c r="Q22" s="186"/>
    </row>
    <row r="23" spans="1:17" ht="13.5" thickBot="1" x14ac:dyDescent="0.25">
      <c r="A23" s="186"/>
      <c r="B23" s="216"/>
      <c r="C23" s="186"/>
      <c r="D23" s="186"/>
      <c r="E23" s="186"/>
      <c r="F23" s="186"/>
      <c r="G23" s="205"/>
      <c r="H23" s="262"/>
      <c r="L23" s="257"/>
      <c r="M23" s="9"/>
      <c r="N23" s="186"/>
      <c r="O23" s="186"/>
      <c r="P23" s="186"/>
      <c r="Q23" s="186"/>
    </row>
    <row r="24" spans="1:17" x14ac:dyDescent="0.2">
      <c r="A24" s="191" t="s">
        <v>47</v>
      </c>
      <c r="B24" s="191" t="s">
        <v>48</v>
      </c>
      <c r="C24" s="191" t="s">
        <v>65</v>
      </c>
      <c r="D24" s="191" t="s">
        <v>18</v>
      </c>
      <c r="E24" s="191" t="s">
        <v>46</v>
      </c>
      <c r="F24" s="191" t="s">
        <v>49</v>
      </c>
      <c r="G24" s="191" t="s">
        <v>101</v>
      </c>
      <c r="H24" s="186"/>
      <c r="I24" s="192"/>
      <c r="J24" s="205"/>
      <c r="K24" s="186"/>
      <c r="L24" s="9" t="s">
        <v>52</v>
      </c>
      <c r="M24" s="9" t="s">
        <v>83</v>
      </c>
      <c r="N24" s="186"/>
      <c r="O24" s="186"/>
      <c r="P24" s="186"/>
      <c r="Q24" s="186"/>
    </row>
    <row r="25" spans="1:17" x14ac:dyDescent="0.2">
      <c r="A25" s="198">
        <f>IF($A$19="","",1)</f>
        <v>1</v>
      </c>
      <c r="B25" s="185">
        <f>IF($A$19="","",DATE(YEAR($C$19),MONTH($C$19)+$A$19,DAY($C$19)))</f>
        <v>44018</v>
      </c>
      <c r="C25" s="208">
        <f>IF(B25="","",B25-C19)</f>
        <v>182</v>
      </c>
      <c r="D25" s="208">
        <f>IF(C25="","",SUM($C$24:C25))</f>
        <v>182</v>
      </c>
      <c r="E25" s="209">
        <f>IF(ISERROR(mon*$C$20*C25),"",mon*$C$20*C25/L25+IF(BaseDatos!$C$12="",0,IF(A25=BaseDatos!$C$12,mon,0)))</f>
        <v>56564.207650273223</v>
      </c>
      <c r="F25" s="210">
        <f ca="1">IF(OR(E25="",H25&lt;&gt;1,vd=""),"",IF(A25=$A$20+1,IF(A25=BaseDatos!$C$12,mon+(E25-mon)*BaseDatos!$C$15,E25*BaseDatos!$C$15),E25))</f>
        <v>53767.076502732234</v>
      </c>
      <c r="G25" s="209">
        <f ca="1">IF(F25="","",(IF(OR($A$21=0,E25=""),"",E25/(1+BaseDatos!$C$14)^M25))-(E25-F25))</f>
        <v>51326.173305323457</v>
      </c>
      <c r="H25" s="192">
        <f t="shared" ref="H25:H67" si="0">IF(A25="","",IF(B25&lt;=$E$18,"Saldo anterior pagado",1))</f>
        <v>1</v>
      </c>
      <c r="I25" s="224"/>
      <c r="J25" s="205"/>
      <c r="K25" s="186"/>
      <c r="L25" s="219">
        <f>IF(A25="","",IF(BaseDatos!$C$11=1,C25,IF(MOD(YEAR(B25),4)&gt;0,IF(L24=BaseDatos!$C$6+1,IF(COUNTIF(L20:L24,BaseDatos!$C$6+1)=BaseDatos!$C$11,0,1),0),IF(COUNTIF(L20:L24,BaseDatos!$C$6+1)=BaseDatos!$C$11,0,IF(OR(DATE(YEAR(B25),3,1)&gt;B25,DATE(YEAR(B25),3,1)&lt;C19),0,1)))+BaseDatos!$C$6))</f>
        <v>366</v>
      </c>
      <c r="M25" s="258">
        <f ca="1">IF(F25="","",(A25+BaseDatos!$C$15-1-$A$20))</f>
        <v>0.9505494505494505</v>
      </c>
      <c r="N25" s="186"/>
      <c r="O25" s="252"/>
      <c r="P25" s="186"/>
      <c r="Q25" s="186"/>
    </row>
    <row r="26" spans="1:17" x14ac:dyDescent="0.2">
      <c r="A26" s="198">
        <f>IF(OR(BaseDatos!$C$12=0,A25=""),"",IF(A25=BaseDatos!$C$12,"",A25+1))</f>
        <v>2</v>
      </c>
      <c r="B26" s="185">
        <f>IF(AND(A26=20,$C$16=BaseDatos!$H$33), IF(OR(A25="",A26=""),"",DATE(YEAR(B25),MONTH(B25)+$A$19,DAY(B25)))+1,IF(OR(A25="",A26=""),"",DATE(YEAR(B25),MONTH(B25)+$A$19,DAY(B25))))</f>
        <v>44202</v>
      </c>
      <c r="C26" s="208">
        <f t="shared" ref="C26:C44" si="1">IF(ISNUMBER(B26),B26-B25,"")</f>
        <v>184</v>
      </c>
      <c r="D26" s="208">
        <f>IF(C26="","",SUM($C$24:C26))</f>
        <v>366</v>
      </c>
      <c r="E26" s="209">
        <f>IF(ISERROR(mon*$C$20*C26),"",mon*$C$20*C26/L26+IF(BaseDatos!$C$12="",0,IF(A26=BaseDatos!$C$12,mon,0)))</f>
        <v>57185.792349726777</v>
      </c>
      <c r="F26" s="210">
        <f>IF(OR(E26="",H26&lt;&gt;1,vd=""),"",IF(A26=$A$20+1,IF(A26=BaseDatos!$C$12,mon+(E26-mon)*BaseDatos!$C$15,E26*BaseDatos!$C$15),E26))</f>
        <v>57185.792349726777</v>
      </c>
      <c r="G26" s="209">
        <f ca="1">IF(F26="","",(IF(OR($A$21=0,E26=""),"",E26/(1+BaseDatos!$C$14)^M26))-(E26-F26))</f>
        <v>52236.817222203877</v>
      </c>
      <c r="H26" s="192">
        <f t="shared" si="0"/>
        <v>1</v>
      </c>
      <c r="I26" s="224"/>
      <c r="J26"/>
      <c r="K26"/>
      <c r="L26" s="263">
        <f>IF(AND(A26=20,$C$16=BaseDatos!H14),IF(A26="","",C26+C25)-1,IF(A26="","",C26+C25))</f>
        <v>366</v>
      </c>
      <c r="M26" s="261">
        <f ca="1">IF(AND(A26=20,$C$16=BaseDatos!H14),IF(F26="","",(A26+BaseDatos!$C$15-1-$A$20))+(1/184), IF(F26="","",(A26+BaseDatos!$C$15-1-$A$20)))</f>
        <v>1.9505494505494507</v>
      </c>
      <c r="N26" s="186"/>
      <c r="O26" s="252"/>
      <c r="P26" s="186"/>
      <c r="Q26" s="186"/>
    </row>
    <row r="27" spans="1:17" x14ac:dyDescent="0.2">
      <c r="A27" s="198">
        <f>IF(OR(BaseDatos!$C$12=0,A26=""),"",IF(A26=BaseDatos!$C$12,"",A26+1))</f>
        <v>3</v>
      </c>
      <c r="B27" s="185">
        <f>IF(AND(A27=20,$C$16=BaseDatos!$H$33), IF(OR(A26="",A27=""),"",DATE(YEAR(B26),MONTH(B26)+$A$19,DAY(B26)))+1,IF(OR(A26="",A27=""),"",DATE(YEAR(B26),MONTH(B26)+$A$19,DAY(B26))))</f>
        <v>44383</v>
      </c>
      <c r="C27" s="208">
        <f t="shared" si="1"/>
        <v>181</v>
      </c>
      <c r="D27" s="208">
        <f>IF(C27="","",SUM($C$24:C27))</f>
        <v>547</v>
      </c>
      <c r="E27" s="209">
        <f>IF(ISERROR(mon*$C$20*C27),"",mon*$C$20*C27/L27+IF(BaseDatos!$C$12="",0,IF(A27=BaseDatos!$C$12,mon,0)))</f>
        <v>56407.534246575342</v>
      </c>
      <c r="F27" s="210">
        <f>IF(OR(E27="",H27&lt;&gt;1,vd=""),"",IF(A27=$A$20+1,IF(A27=BaseDatos!$C$12,mon+(E27-mon)*BaseDatos!$C$15,E27*BaseDatos!$C$15),E27))</f>
        <v>56407.534246575342</v>
      </c>
      <c r="G27" s="209">
        <f ca="1">IF(F27="","",(IF(OR($A$21=0,E27=""),"",E27/(1+BaseDatos!$C$14)^M27))-(E27-F27))</f>
        <v>49189.413998020151</v>
      </c>
      <c r="H27" s="192">
        <f t="shared" si="0"/>
        <v>1</v>
      </c>
      <c r="I27" s="224"/>
      <c r="J27"/>
      <c r="L27" s="263">
        <f>IF(AND(A27=20,$C$16=BaseDatos!H15),IF(A27="","",C27+C26)-1,IF(A27="","",C27+C26))</f>
        <v>365</v>
      </c>
      <c r="M27" s="261">
        <f ca="1">IF(AND(A27=20,$C$16=BaseDatos!H15),IF(F27="","",(A27+BaseDatos!$C$15-1-$A$20))+(1/184), IF(F27="","",(A27+BaseDatos!$C$15-1-$A$20)))</f>
        <v>2.9505494505494507</v>
      </c>
      <c r="N27" s="186"/>
      <c r="O27" s="252"/>
      <c r="P27" s="186"/>
      <c r="Q27" s="186"/>
    </row>
    <row r="28" spans="1:17" x14ac:dyDescent="0.2">
      <c r="A28" s="198">
        <f>IF(OR(BaseDatos!$C$12=0,A27=""),"",IF(A27=BaseDatos!$C$12,"",A27+1))</f>
        <v>4</v>
      </c>
      <c r="B28" s="185">
        <f>IF(AND(A28=20,$C$16=BaseDatos!$H$33), IF(OR(A27="",A28=""),"",DATE(YEAR(B27),MONTH(B27)+$A$19,DAY(B27)))+1,IF(OR(A27="",A28=""),"",DATE(YEAR(B27),MONTH(B27)+$A$19,DAY(B27))))</f>
        <v>44567</v>
      </c>
      <c r="C28" s="208">
        <f t="shared" si="1"/>
        <v>184</v>
      </c>
      <c r="D28" s="208">
        <f>IF(C28="","",SUM($C$24:C28))</f>
        <v>731</v>
      </c>
      <c r="E28" s="209">
        <f>IF(ISERROR(mon*$C$20*C28),"",mon*$C$20*C28/L28+IF(BaseDatos!$C$12="",0,IF(A28=BaseDatos!$C$12,mon,0)))</f>
        <v>57342.465753424658</v>
      </c>
      <c r="F28" s="210">
        <f>IF(OR(E28="",H28&lt;&gt;1,vd=""),"",IF(A28=$A$20+1,IF(A28=BaseDatos!$C$12,mon+(E28-mon)*BaseDatos!$C$15,E28*BaseDatos!$C$15),E28))</f>
        <v>57342.465753424658</v>
      </c>
      <c r="G28" s="209">
        <f ca="1">IF(F28="","",(IF(OR($A$21=0,E28=""),"",E28/(1+BaseDatos!$C$14)^M28))-(E28-F28))</f>
        <v>47737.191553874429</v>
      </c>
      <c r="H28" s="192">
        <f t="shared" si="0"/>
        <v>1</v>
      </c>
      <c r="I28" s="224"/>
      <c r="J28"/>
      <c r="L28" s="263">
        <f>IF(AND(A28=20,$C$16=BaseDatos!H16),IF(A28="","",C28+C27)-1,IF(A28="","",C28+C27))</f>
        <v>365</v>
      </c>
      <c r="M28" s="261">
        <f ca="1">IF(AND(A28=20,$C$16=BaseDatos!H16),IF(F28="","",(A28+BaseDatos!$C$15-1-$A$20))+(1/184), IF(F28="","",(A28+BaseDatos!$C$15-1-$A$20)))</f>
        <v>3.9505494505494507</v>
      </c>
      <c r="N28" s="186"/>
      <c r="O28" s="252"/>
      <c r="P28" s="186"/>
      <c r="Q28" s="186"/>
    </row>
    <row r="29" spans="1:17" x14ac:dyDescent="0.2">
      <c r="A29" s="198">
        <f>IF(OR(BaseDatos!$C$12=0,A28=""),"",IF(A28=BaseDatos!$C$12,"",A28+1))</f>
        <v>5</v>
      </c>
      <c r="B29" s="185">
        <f>IF(AND(A29=20,$C$16=BaseDatos!$H$33), IF(OR(A28="",A29=""),"",DATE(YEAR(B28),MONTH(B28)+$A$19,DAY(B28)))+1,IF(OR(A28="",A29=""),"",DATE(YEAR(B28),MONTH(B28)+$A$19,DAY(B28))))</f>
        <v>44748</v>
      </c>
      <c r="C29" s="208">
        <f t="shared" si="1"/>
        <v>181</v>
      </c>
      <c r="D29" s="208">
        <f>IF(C29="","",SUM($C$24:C29))</f>
        <v>912</v>
      </c>
      <c r="E29" s="209">
        <f>IF(ISERROR(mon*$C$20*C29),"",mon*$C$20*C29/L29+IF(BaseDatos!$C$12="",0,IF(A29=BaseDatos!$C$12,mon,0)))</f>
        <v>56407.534246575342</v>
      </c>
      <c r="F29" s="210">
        <f>IF(OR(E29="",H29&lt;&gt;1,vd=""),"",IF(A29=$A$20+1,IF(A29=BaseDatos!$C$12,mon+(E29-mon)*BaseDatos!$C$15,E29*BaseDatos!$C$15),E29))</f>
        <v>56407.534246575342</v>
      </c>
      <c r="G29" s="209">
        <f ca="1">IF(F29="","",(IF(OR($A$21=0,E29=""),"",E29/(1+BaseDatos!$C$14)^M29))-(E29-F29))</f>
        <v>44829.468046338443</v>
      </c>
      <c r="H29" s="192">
        <f t="shared" si="0"/>
        <v>1</v>
      </c>
      <c r="I29" s="224"/>
      <c r="J29"/>
      <c r="L29" s="263">
        <f>IF(AND(A29=20,$C$16=BaseDatos!H17),IF(A29="","",C29+C28)-1,IF(A29="","",C29+C28))</f>
        <v>365</v>
      </c>
      <c r="M29" s="261">
        <f ca="1">IF(AND(A29=20,$C$16=BaseDatos!H17),IF(F29="","",(A29+BaseDatos!$C$15-1-$A$20))+(1/184), IF(F29="","",(A29+BaseDatos!$C$15-1-$A$20)))</f>
        <v>4.9505494505494507</v>
      </c>
      <c r="N29" s="186"/>
      <c r="O29" s="252"/>
      <c r="P29" s="186"/>
      <c r="Q29" s="186"/>
    </row>
    <row r="30" spans="1:17" x14ac:dyDescent="0.2">
      <c r="A30" s="198">
        <f>IF(OR(BaseDatos!$C$12=0,A29=""),"",IF(A29=BaseDatos!$C$12,"",A29+1))</f>
        <v>6</v>
      </c>
      <c r="B30" s="185">
        <f>IF(AND(A30=20,$C$16=BaseDatos!$H$33), IF(OR(A29="",A30=""),"",DATE(YEAR(B29),MONTH(B29)+$A$19,DAY(B29)))+1,IF(OR(A29="",A30=""),"",DATE(YEAR(B29),MONTH(B29)+$A$19,DAY(B29))))</f>
        <v>44932</v>
      </c>
      <c r="C30" s="208">
        <f>IF(ISNUMBER(B30),B30-B29,"")</f>
        <v>184</v>
      </c>
      <c r="D30" s="208">
        <f>IF(C30="","",SUM($C$24:C30))</f>
        <v>1096</v>
      </c>
      <c r="E30" s="209">
        <f>IF(ISERROR(mon*$C$20*C30),"",mon*$C$20*C30/L30+IF(BaseDatos!$C$12="",0,IF(A30=BaseDatos!$C$12,mon,0)))</f>
        <v>57342.465753424658</v>
      </c>
      <c r="F30" s="210">
        <f>IF(OR(E30="",H30&lt;&gt;1,vd=""),"",IF(A30=$A$20+1,IF(A30=BaseDatos!$C$12,mon+(E30-mon)*BaseDatos!$C$15,E30*BaseDatos!$C$15),E30))</f>
        <v>57342.465753424658</v>
      </c>
      <c r="G30" s="209">
        <f ca="1">IF(F30="","",(IF(OR($A$21=0,E30=""),"",E30/(1+BaseDatos!$C$14)^M30))-(E30-F30))</f>
        <v>43505.964585642076</v>
      </c>
      <c r="H30" s="192">
        <f t="shared" si="0"/>
        <v>1</v>
      </c>
      <c r="I30" s="224"/>
      <c r="J30"/>
      <c r="L30" s="263">
        <f>IF(AND(A30=20,$C$16=BaseDatos!H18),IF(A30="","",C30+C29)-1,IF(A30="","",C30+C29))</f>
        <v>365</v>
      </c>
      <c r="M30" s="261">
        <f ca="1">IF(AND(A30=20,$C$16=BaseDatos!H18),IF(F30="","",(A30+BaseDatos!$C$15-1-$A$20))+(1/184), IF(F30="","",(A30+BaseDatos!$C$15-1-$A$20)))</f>
        <v>5.9505494505494507</v>
      </c>
      <c r="N30" s="186"/>
      <c r="O30" s="252"/>
      <c r="P30" s="186"/>
      <c r="Q30" s="186"/>
    </row>
    <row r="31" spans="1:17" x14ac:dyDescent="0.2">
      <c r="A31" s="198">
        <f>IF(OR(BaseDatos!$C$12=0,A30=""),"",IF(A30=BaseDatos!$C$12,"",A30+1))</f>
        <v>7</v>
      </c>
      <c r="B31" s="185">
        <f>IF(AND(A31=20,$C$16=BaseDatos!$H$33), IF(OR(A30="",A31=""),"",DATE(YEAR(B30),MONTH(B30)+$A$19,DAY(B30)))+1,IF(OR(A30="",A31=""),"",DATE(YEAR(B30),MONTH(B30)+$A$19,DAY(B30))))</f>
        <v>45113</v>
      </c>
      <c r="C31" s="208">
        <f t="shared" si="1"/>
        <v>181</v>
      </c>
      <c r="D31" s="208">
        <f>IF(C31="","",SUM($C$24:C31))</f>
        <v>1277</v>
      </c>
      <c r="E31" s="209">
        <f>IF(ISERROR(mon*$C$20*C31),"",mon*$C$20*C31/L31+IF(BaseDatos!$C$12="",0,IF(A31=BaseDatos!$C$12,mon,0)))</f>
        <v>56407.534246575342</v>
      </c>
      <c r="F31" s="210">
        <f>IF(OR(E31="",H31&lt;&gt;1,vd=""),"",IF(A31=$A$20+1,IF(A31=BaseDatos!$C$12,mon+(E31-mon)*BaseDatos!$C$15,E31*BaseDatos!$C$15),E31))</f>
        <v>56407.534246575342</v>
      </c>
      <c r="G31" s="209">
        <f ca="1">IF(F31="","",(IF(OR($A$21=0,E31=""),"",E31/(1+BaseDatos!$C$14)^M31))-(E31-F31))</f>
        <v>40855.969648237078</v>
      </c>
      <c r="H31" s="192">
        <f t="shared" si="0"/>
        <v>1</v>
      </c>
      <c r="I31" s="224"/>
      <c r="J31"/>
      <c r="L31" s="263">
        <f>IF(AND(A31=20,$C$16=BaseDatos!H19),IF(A31="","",C31+C30)-1,IF(A31="","",C31+C30))</f>
        <v>365</v>
      </c>
      <c r="M31" s="261">
        <f ca="1">IF(AND(A31=20,$C$16=BaseDatos!H19),IF(F31="","",(A31+BaseDatos!$C$15-1-$A$20))+(1/184), IF(F31="","",(A31+BaseDatos!$C$15-1-$A$20)))</f>
        <v>6.9505494505494507</v>
      </c>
      <c r="N31" s="186">
        <f ca="1">+M31-[1]Sheet1!E15</f>
        <v>6.2440277114190161</v>
      </c>
      <c r="O31" s="252"/>
      <c r="P31" s="186"/>
      <c r="Q31" s="186"/>
    </row>
    <row r="32" spans="1:17" ht="12.75" customHeight="1" x14ac:dyDescent="0.2">
      <c r="A32" s="198">
        <f>IF(OR(BaseDatos!$C$12=0,A31=""),"",IF(A31=BaseDatos!$C$12,"",A31+1))</f>
        <v>8</v>
      </c>
      <c r="B32" s="185">
        <f>IF(AND(A32=20,$C$16=BaseDatos!$H$33), IF(OR(A31="",A32=""),"",DATE(YEAR(B31),MONTH(B31)+$A$19,DAY(B31)))+1,IF(OR(A31="",A32=""),"",DATE(YEAR(B31),MONTH(B31)+$A$19,DAY(B31))))</f>
        <v>45297</v>
      </c>
      <c r="C32" s="208">
        <f t="shared" si="1"/>
        <v>184</v>
      </c>
      <c r="D32" s="208">
        <f>IF(C32="","",SUM($C$24:C32))</f>
        <v>1461</v>
      </c>
      <c r="E32" s="209">
        <f>IF(ISERROR(mon*$C$20*C32),"",mon*$C$20*C32/L32+IF(BaseDatos!$C$12="",0,IF(A32=BaseDatos!$C$12,mon,0)))</f>
        <v>57342.465753424658</v>
      </c>
      <c r="F32" s="210">
        <f>IF(OR(E32="",H32&lt;&gt;1,vd=""),"",IF(A32=$A$20+1,IF(A32=BaseDatos!$C$12,mon+(E32-mon)*BaseDatos!$C$15,E32*BaseDatos!$C$15),E32))</f>
        <v>57342.465753424658</v>
      </c>
      <c r="G32" s="209">
        <f ca="1">IF(F32="","",(IF(OR($A$21=0,E32=""),"",E32/(1+BaseDatos!$C$14)^M32))-(E32-F32))</f>
        <v>39649.77605335314</v>
      </c>
      <c r="H32" s="192">
        <f t="shared" si="0"/>
        <v>1</v>
      </c>
      <c r="I32" s="224"/>
      <c r="J32"/>
      <c r="L32" s="263">
        <f>IF(AND(A32=20,$C$16=BaseDatos!H20),IF(A32="","",C32+C31)-1,IF(A32="","",C32+C31))</f>
        <v>365</v>
      </c>
      <c r="M32" s="261">
        <f ca="1">IF(AND(A32=20,$C$16=BaseDatos!H20),IF(F32="","",(A32+BaseDatos!$C$15-1-$A$20))+(1/184), IF(F32="","",(A32+BaseDatos!$C$15-1-$A$20)))</f>
        <v>7.9505494505494507</v>
      </c>
      <c r="N32" s="186">
        <f ca="1">+M32-[1]Sheet1!E16</f>
        <v>6.2440277114190161</v>
      </c>
      <c r="O32" s="252"/>
      <c r="P32" s="186"/>
      <c r="Q32" s="186"/>
    </row>
    <row r="33" spans="1:17" x14ac:dyDescent="0.2">
      <c r="A33" s="198">
        <f>IF(OR(BaseDatos!$C$12=0,A32=""),"",IF(A32=BaseDatos!$C$12,"",A32+1))</f>
        <v>9</v>
      </c>
      <c r="B33" s="185">
        <f>IF(AND(A33=20,$C$16=BaseDatos!$H$33), IF(OR(A32="",A33=""),"",DATE(YEAR(B32),MONTH(B32)+$A$19,DAY(B32)))+1,IF(OR(A32="",A33=""),"",DATE(YEAR(B32),MONTH(B32)+$A$19,DAY(B32))))</f>
        <v>45479</v>
      </c>
      <c r="C33" s="208">
        <f t="shared" si="1"/>
        <v>182</v>
      </c>
      <c r="D33" s="208">
        <f>IF(C33="","",SUM($C$24:C33))</f>
        <v>1643</v>
      </c>
      <c r="E33" s="209">
        <f>IF(ISERROR(mon*$C$20*C33),"",mon*$C$20*C33/L33+IF(BaseDatos!$C$12="",0,IF(A33=BaseDatos!$C$12,mon,0)))</f>
        <v>56564.207650273223</v>
      </c>
      <c r="F33" s="210">
        <f>IF(OR(E33="",H33&lt;&gt;1,vd=""),"",IF(A33=$A$20+1,IF(A33=BaseDatos!$C$12,mon+(E33-mon)*BaseDatos!$C$15,E33*BaseDatos!$C$15),E33))</f>
        <v>56564.207650273223</v>
      </c>
      <c r="G33" s="209">
        <f ca="1">IF(F33="","",(IF(OR($A$21=0,E33=""),"",E33/(1+BaseDatos!$C$14)^M33))-(E33-F33))</f>
        <v>37338.085952085974</v>
      </c>
      <c r="H33" s="192">
        <f t="shared" si="0"/>
        <v>1</v>
      </c>
      <c r="I33" s="224"/>
      <c r="J33"/>
      <c r="L33" s="263">
        <f>IF(AND(A33=20,$C$16=BaseDatos!H21),IF(A33="","",C33+C32)-1,IF(A33="","",C33+C32))</f>
        <v>366</v>
      </c>
      <c r="M33" s="261">
        <f ca="1">IF(AND(A33=20,$C$16=BaseDatos!H21),IF(F33="","",(A33+BaseDatos!$C$15-1-$A$20))+(1/184), IF(F33="","",(A33+BaseDatos!$C$15-1-$A$20)))</f>
        <v>8.9505494505494507</v>
      </c>
      <c r="N33" s="186">
        <f ca="1">+M33-[1]Sheet1!E17</f>
        <v>6.2440277114190161</v>
      </c>
      <c r="O33" s="252"/>
      <c r="P33" s="186"/>
      <c r="Q33" s="186"/>
    </row>
    <row r="34" spans="1:17" x14ac:dyDescent="0.2">
      <c r="A34" s="198">
        <f>IF(OR(BaseDatos!$C$12=0,A33=""),"",IF(A33=BaseDatos!$C$12,"",A33+1))</f>
        <v>10</v>
      </c>
      <c r="B34" s="185">
        <f>IF(AND(A34=20,$C$16=BaseDatos!$H$33), IF(OR(A33="",A34=""),"",DATE(YEAR(B33),MONTH(B33)+$A$19,DAY(B33)))+1,IF(OR(A33="",A34=""),"",DATE(YEAR(B33),MONTH(B33)+$A$19,DAY(B33))))</f>
        <v>45663</v>
      </c>
      <c r="C34" s="208">
        <f t="shared" si="1"/>
        <v>184</v>
      </c>
      <c r="D34" s="208">
        <f>IF(C34="","",SUM($C$24:C34))</f>
        <v>1827</v>
      </c>
      <c r="E34" s="209">
        <f>IF(ISERROR(mon*$C$20*C34),"",mon*$C$20*C34/L34+IF(BaseDatos!$C$12="",0,IF(A34=BaseDatos!$C$12,mon,0)))</f>
        <v>57185.792349726777</v>
      </c>
      <c r="F34" s="210">
        <f>IF(OR(E34="",H34&lt;&gt;1,vd=""),"",IF(A34=$A$20+1,IF(A34=BaseDatos!$C$12,mon+(E34-mon)*BaseDatos!$C$15,E34*BaseDatos!$C$15),E34))</f>
        <v>57185.792349726777</v>
      </c>
      <c r="G34" s="209">
        <f ca="1">IF(F34="","",(IF(OR($A$21=0,E34=""),"",E34/(1+BaseDatos!$C$14)^M34))-(E34-F34))</f>
        <v>36036.653545510344</v>
      </c>
      <c r="H34" s="192">
        <f t="shared" si="0"/>
        <v>1</v>
      </c>
      <c r="I34" s="224"/>
      <c r="J34"/>
      <c r="L34" s="263">
        <f>IF(AND(A34=20,$C$16=BaseDatos!H22),IF(A34="","",C34+C33)-1,IF(A34="","",C34+C33))</f>
        <v>366</v>
      </c>
      <c r="M34" s="261">
        <f ca="1">IF(AND(A34=20,$C$16=BaseDatos!H22),IF(F34="","",(A34+BaseDatos!$C$15-1-$A$20))+(1/184), IF(F34="","",(A34+BaseDatos!$C$15-1-$A$20)))</f>
        <v>9.9505494505494507</v>
      </c>
      <c r="N34" s="186">
        <f ca="1">+M34-[1]Sheet1!E18</f>
        <v>6.2440277114190161</v>
      </c>
      <c r="O34" s="252"/>
      <c r="P34" s="186"/>
      <c r="Q34" s="186"/>
    </row>
    <row r="35" spans="1:17" x14ac:dyDescent="0.2">
      <c r="A35" s="198">
        <f>IF(OR(BaseDatos!$C$12=0,A34=""),"",IF(A34=BaseDatos!$C$12,"",A34+1))</f>
        <v>11</v>
      </c>
      <c r="B35" s="185">
        <f>IF(AND(A35=20,$C$16=BaseDatos!$H$33), IF(OR(A34="",A35=""),"",DATE(YEAR(B34),MONTH(B34)+$A$19,DAY(B34)))+1,IF(OR(A34="",A35=""),"",DATE(YEAR(B34),MONTH(B34)+$A$19,DAY(B34))))</f>
        <v>45844</v>
      </c>
      <c r="C35" s="208">
        <f t="shared" si="1"/>
        <v>181</v>
      </c>
      <c r="D35" s="208">
        <f>IF(C35="","",SUM($C$24:C35))</f>
        <v>2008</v>
      </c>
      <c r="E35" s="209">
        <f>IF(ISERROR(mon*$C$20*C35),"",mon*$C$20*C35/L35+IF(BaseDatos!$C$12="",0,IF(A35=BaseDatos!$C$12,mon,0)))</f>
        <v>56407.534246575342</v>
      </c>
      <c r="F35" s="210">
        <f>IF(OR(E35="",H35&lt;&gt;1,vd=""),"",IF(A35=$A$20+1,IF(A35=BaseDatos!$C$12,mon+(E35-mon)*BaseDatos!$C$15,E35*BaseDatos!$C$15),E35))</f>
        <v>56407.534246575342</v>
      </c>
      <c r="G35" s="209">
        <f ca="1">IF(F35="","",(IF(OR($A$21=0,E35=""),"",E35/(1+BaseDatos!$C$14)^M35))-(E35-F35))</f>
        <v>33934.339123553167</v>
      </c>
      <c r="H35" s="192">
        <f t="shared" si="0"/>
        <v>1</v>
      </c>
      <c r="I35" s="224"/>
      <c r="J35"/>
      <c r="L35" s="263">
        <f>IF(AND(A35=20,$C$16=BaseDatos!H23),IF(A35="","",C35+C34)-1,IF(A35="","",C35+C34))</f>
        <v>365</v>
      </c>
      <c r="M35" s="261">
        <f ca="1">IF(AND(A35=20,$C$16=BaseDatos!H23),IF(F35="","",(A35+BaseDatos!$C$15-1-$A$20))+(1/184), IF(F35="","",(A35+BaseDatos!$C$15-1-$A$20)))</f>
        <v>10.950549450549451</v>
      </c>
      <c r="N35" s="186"/>
      <c r="O35" s="252"/>
      <c r="P35" s="186"/>
      <c r="Q35" s="186"/>
    </row>
    <row r="36" spans="1:17" x14ac:dyDescent="0.2">
      <c r="A36" s="198">
        <f>IF(OR(BaseDatos!$C$12=0,A35=""),"",IF(A35=BaseDatos!$C$12,"",A35+1))</f>
        <v>12</v>
      </c>
      <c r="B36" s="185">
        <f>IF(AND(A36=20,$C$16=BaseDatos!$H$33), IF(OR(A35="",A36=""),"",DATE(YEAR(B35),MONTH(B35)+$A$19,DAY(B35)))+1,IF(OR(A35="",A36=""),"",DATE(YEAR(B35),MONTH(B35)+$A$19,DAY(B35))))</f>
        <v>46028</v>
      </c>
      <c r="C36" s="208">
        <f t="shared" si="1"/>
        <v>184</v>
      </c>
      <c r="D36" s="208">
        <f>IF(C36="","",SUM($C$24:C36))</f>
        <v>2192</v>
      </c>
      <c r="E36" s="209">
        <f>IF(ISERROR(mon*$C$20*C36),"",mon*$C$20*C36/L36+IF(BaseDatos!$C$12="",0,IF(A36=BaseDatos!$C$12,mon,0)))</f>
        <v>57342.465753424658</v>
      </c>
      <c r="F36" s="210">
        <f>IF(OR(E36="",H36&lt;&gt;1,vd=""),"",IF(A36=$A$20+1,IF(A36=BaseDatos!$C$12,mon+(E36-mon)*BaseDatos!$C$15,E36*BaseDatos!$C$15),E36))</f>
        <v>57342.465753424658</v>
      </c>
      <c r="G36" s="209">
        <f ca="1">IF(F36="","",(IF(OR($A$21=0,E36=""),"",E36/(1+BaseDatos!$C$14)^M36))-(E36-F36))</f>
        <v>32932.493301513903</v>
      </c>
      <c r="H36" s="192">
        <f t="shared" si="0"/>
        <v>1</v>
      </c>
      <c r="I36" s="224"/>
      <c r="L36" s="263">
        <f>IF(AND(A36=20,$C$16=BaseDatos!H24),IF(A36="","",C36+C35)-1,IF(A36="","",C36+C35))</f>
        <v>365</v>
      </c>
      <c r="M36" s="261">
        <f ca="1">IF(AND(A36=20,$C$16=BaseDatos!H24),IF(F36="","",(A36+BaseDatos!$C$15-1-$A$20))+(1/184), IF(F36="","",(A36+BaseDatos!$C$15-1-$A$20)))</f>
        <v>11.950549450549451</v>
      </c>
      <c r="N36" s="186"/>
      <c r="O36" s="252"/>
      <c r="P36" s="186"/>
      <c r="Q36" s="186"/>
    </row>
    <row r="37" spans="1:17" x14ac:dyDescent="0.2">
      <c r="A37" s="198">
        <f>IF(OR(BaseDatos!$C$12=0,A36=""),"",IF(A36=BaseDatos!$C$12,"",A36+1))</f>
        <v>13</v>
      </c>
      <c r="B37" s="185">
        <f>IF(AND(A37=20,$C$16=BaseDatos!$H$33), IF(OR(A36="",A37=""),"",DATE(YEAR(B36),MONTH(B36)+$A$19,DAY(B36)))+1,IF(OR(A36="",A37=""),"",DATE(YEAR(B36),MONTH(B36)+$A$19,DAY(B36))))</f>
        <v>46209</v>
      </c>
      <c r="C37" s="208">
        <f t="shared" si="1"/>
        <v>181</v>
      </c>
      <c r="D37" s="208">
        <f>IF(C37="","",SUM($C$24:C37))</f>
        <v>2373</v>
      </c>
      <c r="E37" s="209">
        <f>IF(ISERROR(mon*$C$20*C37),"",mon*$C$20*C37/L37+IF(BaseDatos!$C$12="",0,IF(A37=BaseDatos!$C$12,mon,0)))</f>
        <v>56407.534246575342</v>
      </c>
      <c r="F37" s="210">
        <f>IF(OR(E37="",H37&lt;&gt;1,vd=""),"",IF(A37=$A$20+1,IF(A37=BaseDatos!$C$12,mon+(E37-mon)*BaseDatos!$C$15,E37*BaseDatos!$C$15),E37))</f>
        <v>56407.534246575342</v>
      </c>
      <c r="G37" s="209">
        <f ca="1">IF(F37="","",(IF(OR($A$21=0,E37=""),"",E37/(1+BaseDatos!$C$14)^M37))-(E37-F37))</f>
        <v>30926.539833838418</v>
      </c>
      <c r="H37" s="192">
        <f t="shared" si="0"/>
        <v>1</v>
      </c>
      <c r="I37" s="224"/>
      <c r="L37" s="263">
        <f>IF(AND(A37=20,$C$16=BaseDatos!H26),IF(A37="","",C37+C36)-1,IF(A37="","",C37+C36))</f>
        <v>365</v>
      </c>
      <c r="M37" s="261">
        <f ca="1">IF(AND(A37=20,$C$16=BaseDatos!H26),IF(F37="","",(A37+BaseDatos!$C$15-1-$A$20))+(1/184), IF(F37="","",(A37+BaseDatos!$C$15-1-$A$20)))</f>
        <v>12.950549450549451</v>
      </c>
      <c r="N37" s="186"/>
      <c r="O37" s="252"/>
      <c r="P37" s="186"/>
      <c r="Q37" s="186"/>
    </row>
    <row r="38" spans="1:17" x14ac:dyDescent="0.2">
      <c r="A38" s="198">
        <f>IF(OR(BaseDatos!$C$12=0,A37=""),"",IF(A37=BaseDatos!$C$12,"",A37+1))</f>
        <v>14</v>
      </c>
      <c r="B38" s="185">
        <f>IF(AND(A38=20,$C$16=BaseDatos!$H$33), IF(OR(A37="",A38=""),"",DATE(YEAR(B37),MONTH(B37)+$A$19,DAY(B37)))+1,IF(OR(A37="",A38=""),"",DATE(YEAR(B37),MONTH(B37)+$A$19,DAY(B37))))</f>
        <v>46393</v>
      </c>
      <c r="C38" s="208">
        <f t="shared" si="1"/>
        <v>184</v>
      </c>
      <c r="D38" s="208">
        <f>IF(C38="","",SUM($C$24:C38))</f>
        <v>2557</v>
      </c>
      <c r="E38" s="209">
        <f>IF(ISERROR(mon*$C$20*C38),"",mon*$C$20*C38/L38+IF(BaseDatos!$C$12="",0,IF(A38=BaseDatos!$C$12,mon,0)))</f>
        <v>57342.465753424658</v>
      </c>
      <c r="F38" s="210">
        <f>IF(OR(E38="",H38&lt;&gt;1,vd=""),"",IF(A38=$A$20+1,IF(A38=BaseDatos!$C$12,mon+(E38-mon)*BaseDatos!$C$15,E38*BaseDatos!$C$15),E38))</f>
        <v>57342.465753424658</v>
      </c>
      <c r="G38" s="209">
        <f ca="1">IF(F38="","",(IF(OR($A$21=0,E38=""),"",E38/(1+BaseDatos!$C$14)^M38))-(E38-F38))</f>
        <v>30013.493476582065</v>
      </c>
      <c r="H38" s="192">
        <f t="shared" si="0"/>
        <v>1</v>
      </c>
      <c r="I38" s="224"/>
      <c r="L38" s="263">
        <f>IF(AND(A38=20,$C$16=BaseDatos!H27),IF(A38="","",C38+C37)-1,IF(A38="","",C38+C37))</f>
        <v>365</v>
      </c>
      <c r="M38" s="261">
        <f ca="1">IF(AND(A38=20,$C$16=BaseDatos!H27),IF(F38="","",(A38+BaseDatos!$C$15-1-$A$20))+(1/184), IF(F38="","",(A38+BaseDatos!$C$15-1-$A$20)))</f>
        <v>13.950549450549451</v>
      </c>
      <c r="N38" s="186"/>
      <c r="O38" s="252"/>
      <c r="P38" s="186"/>
      <c r="Q38" s="186"/>
    </row>
    <row r="39" spans="1:17" x14ac:dyDescent="0.2">
      <c r="A39" s="198">
        <f>IF(OR(BaseDatos!$C$12=0,A38=""),"",IF(A38=BaseDatos!$C$12,"",A38+1))</f>
        <v>15</v>
      </c>
      <c r="B39" s="185">
        <f>IF(AND(A39=20,$C$16=BaseDatos!$H$33), IF(OR(A38="",A39=""),"",DATE(YEAR(B38),MONTH(B38)+$A$19,DAY(B38)))+1,IF(OR(A38="",A39=""),"",DATE(YEAR(B38),MONTH(B38)+$A$19,DAY(B38))))</f>
        <v>46574</v>
      </c>
      <c r="C39" s="208">
        <f t="shared" si="1"/>
        <v>181</v>
      </c>
      <c r="D39" s="208">
        <f>IF(C39="","",SUM($C$24:C39))</f>
        <v>2738</v>
      </c>
      <c r="E39" s="209">
        <f>IF(ISERROR(mon*$C$20*C39),"",mon*$C$20*C39/L39+IF(BaseDatos!$C$12="",0,IF(A39=BaseDatos!$C$12,mon,0)))</f>
        <v>56407.534246575342</v>
      </c>
      <c r="F39" s="210">
        <f>IF(OR(E39="",H39&lt;&gt;1,vd=""),"",IF(A39=$A$20+1,IF(A39=BaseDatos!$C$12,mon+(E39-mon)*BaseDatos!$C$15,E39*BaseDatos!$C$15),E39))</f>
        <v>56407.534246575342</v>
      </c>
      <c r="G39" s="209">
        <f ca="1">IF(F39="","",(IF(OR($A$21=0,E39=""),"",E39/(1+BaseDatos!$C$14)^M39))-(E39-F39))</f>
        <v>28185.339417149284</v>
      </c>
      <c r="H39" s="192">
        <f t="shared" si="0"/>
        <v>1</v>
      </c>
      <c r="I39" s="224"/>
      <c r="L39" s="263">
        <f>IF(AND(A39=20,$C$16=BaseDatos!H28),IF(A39="","",C39+C38)-1,IF(A39="","",C39+C38))</f>
        <v>365</v>
      </c>
      <c r="M39" s="261">
        <f ca="1">IF(AND(A39=20,$C$16=BaseDatos!H28),IF(F39="","",(A39+BaseDatos!$C$15-1-$A$20))+(1/184), IF(F39="","",(A39+BaseDatos!$C$15-1-$A$20)))</f>
        <v>14.950549450549451</v>
      </c>
      <c r="N39" s="186"/>
      <c r="O39" s="252"/>
      <c r="P39" s="186"/>
      <c r="Q39" s="186"/>
    </row>
    <row r="40" spans="1:17" x14ac:dyDescent="0.2">
      <c r="A40" s="198">
        <f>IF(OR(BaseDatos!$C$12=0,A39=""),"",IF(A39=BaseDatos!$C$12,"",A39+1))</f>
        <v>16</v>
      </c>
      <c r="B40" s="185">
        <f>IF(AND(A40=20,$C$16=BaseDatos!$H$33), IF(OR(A39="",A40=""),"",DATE(YEAR(B39),MONTH(B39)+$A$19,DAY(B39)))+1,IF(OR(A39="",A40=""),"",DATE(YEAR(B39),MONTH(B39)+$A$19,DAY(B39))))</f>
        <v>46758</v>
      </c>
      <c r="C40" s="208">
        <f t="shared" si="1"/>
        <v>184</v>
      </c>
      <c r="D40" s="208">
        <f>IF(C40="","",SUM($C$24:C40))</f>
        <v>2922</v>
      </c>
      <c r="E40" s="209">
        <f>IF(ISERROR(mon*$C$20*C40),"",mon*$C$20*C40/L40+IF(BaseDatos!$C$12="",0,IF(A40=BaseDatos!$C$12,mon,0)))</f>
        <v>57342.465753424658</v>
      </c>
      <c r="F40" s="210">
        <f>IF(OR(E40="",H40&lt;&gt;1,vd=""),"",IF(A40=$A$20+1,IF(A40=BaseDatos!$C$12,mon+(E40-mon)*BaseDatos!$C$15,E40*BaseDatos!$C$15),E40))</f>
        <v>57342.465753424658</v>
      </c>
      <c r="G40" s="209">
        <f ca="1">IF(F40="","",(IF(OR($A$21=0,E40=""),"",E40/(1+BaseDatos!$C$14)^M40))-(E40-F40))</f>
        <v>27353.221707857272</v>
      </c>
      <c r="H40" s="192">
        <f t="shared" si="0"/>
        <v>1</v>
      </c>
      <c r="I40" s="224"/>
      <c r="L40" s="263">
        <f>IF(AND(A40=20,$C$16=BaseDatos!H29),IF(A40="","",C40+C39)-1,IF(A40="","",C40+C39))</f>
        <v>365</v>
      </c>
      <c r="M40" s="261">
        <f ca="1">IF(AND(A40=20,$C$16=BaseDatos!H29),IF(F40="","",(A40+BaseDatos!$C$15-1-$A$20))+(1/184), IF(F40="","",(A40+BaseDatos!$C$15-1-$A$20)))</f>
        <v>15.950549450549449</v>
      </c>
      <c r="N40" s="186"/>
      <c r="O40" s="252"/>
      <c r="P40" s="186"/>
      <c r="Q40" s="186"/>
    </row>
    <row r="41" spans="1:17" x14ac:dyDescent="0.2">
      <c r="A41" s="198">
        <f>IF(OR(BaseDatos!$C$12=0,A40=""),"",IF(A40=BaseDatos!$C$12,"",A40+1))</f>
        <v>17</v>
      </c>
      <c r="B41" s="185">
        <f>IF(AND(A41=20,$C$16=BaseDatos!$H$33), IF(OR(A40="",A41=""),"",DATE(YEAR(B40),MONTH(B40)+$A$19,DAY(B40)))+1,IF(OR(A40="",A41=""),"",DATE(YEAR(B40),MONTH(B40)+$A$19,DAY(B40))))</f>
        <v>46940</v>
      </c>
      <c r="C41" s="208">
        <f t="shared" si="1"/>
        <v>182</v>
      </c>
      <c r="D41" s="208">
        <f>IF(C41="","",SUM($C$24:C41))</f>
        <v>3104</v>
      </c>
      <c r="E41" s="209">
        <f>IF(ISERROR(mon*$C$20*C41),"",mon*$C$20*C41/L41+IF(BaseDatos!$C$12="",0,IF(A41=BaseDatos!$C$12,mon,0)))</f>
        <v>56564.207650273223</v>
      </c>
      <c r="F41" s="210">
        <f>IF(OR(E41="",H41&lt;&gt;1,vd=""),"",IF(A41=$A$20+1,IF(A41=BaseDatos!$C$12,mon+(E41-mon)*BaseDatos!$C$15,E41*BaseDatos!$C$15),E41))</f>
        <v>56564.207650273223</v>
      </c>
      <c r="G41" s="209">
        <f ca="1">IF(F41="","",(IF(OR($A$21=0,E41=""),"",E41/(1+BaseDatos!$C$14)^M41))-(E41-F41))</f>
        <v>25758.454267689791</v>
      </c>
      <c r="H41" s="192">
        <f t="shared" si="0"/>
        <v>1</v>
      </c>
      <c r="I41" s="224"/>
      <c r="L41" s="263">
        <f>IF(AND(A41=20,$C$16=BaseDatos!H30),IF(A41="","",C41+C40)-1,IF(A41="","",C41+C40))</f>
        <v>366</v>
      </c>
      <c r="M41" s="261">
        <f ca="1">IF(AND(A41=20,$C$16=BaseDatos!H30),IF(F41="","",(A41+BaseDatos!$C$15-1-$A$20))+(1/184), IF(F41="","",(A41+BaseDatos!$C$15-1-$A$20)))</f>
        <v>16.950549450549449</v>
      </c>
      <c r="O41" s="252"/>
    </row>
    <row r="42" spans="1:17" x14ac:dyDescent="0.2">
      <c r="A42" s="198">
        <f>IF(OR(BaseDatos!$C$12=0,A41=""),"",IF(A41=BaseDatos!$C$12,"",A41+1))</f>
        <v>18</v>
      </c>
      <c r="B42" s="185">
        <f>IF(AND(A42=20,$C$16=BaseDatos!$H$33), IF(OR(A41="",A42=""),"",DATE(YEAR(B41),MONTH(B41)+$A$19,DAY(B41)))+1,IF(OR(A41="",A42=""),"",DATE(YEAR(B41),MONTH(B41)+$A$19,DAY(B41))))</f>
        <v>47124</v>
      </c>
      <c r="C42" s="208">
        <f t="shared" si="1"/>
        <v>184</v>
      </c>
      <c r="D42" s="208">
        <f>IF(C42="","",SUM($C$24:C42))</f>
        <v>3288</v>
      </c>
      <c r="E42" s="209">
        <f>IF(ISERROR(mon*$C$20*C42),"",mon*$C$20*C42/L42+IF(BaseDatos!$C$12="",0,IF(A42=BaseDatos!$C$12,mon,0)))</f>
        <v>57185.792349726777</v>
      </c>
      <c r="F42" s="210">
        <f>IF(OR(E42="",H42&lt;&gt;1,vd=""),"",IF(A42=$A$20+1,IF(A42=BaseDatos!$C$12,mon+(E42-mon)*BaseDatos!$C$15,E42*BaseDatos!$C$15),E42))</f>
        <v>57185.792349726777</v>
      </c>
      <c r="G42" s="209">
        <f ca="1">IF(F42="","",(IF(OR($A$21=0,E42=""),"",E42/(1+BaseDatos!$C$14)^M42))-(E42-F42))</f>
        <v>24860.634085629947</v>
      </c>
      <c r="H42" s="192">
        <f t="shared" si="0"/>
        <v>1</v>
      </c>
      <c r="I42" s="224"/>
      <c r="L42" s="263">
        <f>IF(AND(A42=20,$C$16=BaseDatos!H31),IF(A42="","",C42+C41)-1,IF(A42="","",C42+C41))</f>
        <v>366</v>
      </c>
      <c r="M42" s="261">
        <f ca="1">IF(AND(A42=20,$C$16=BaseDatos!H31),IF(F42="","",(A42+BaseDatos!$C$15-1-$A$20))+(1/184), IF(F42="","",(A42+BaseDatos!$C$15-1-$A$20)))</f>
        <v>17.950549450549449</v>
      </c>
      <c r="O42" s="252"/>
    </row>
    <row r="43" spans="1:17" x14ac:dyDescent="0.2">
      <c r="A43" s="198">
        <f>IF(OR(BaseDatos!$C$12=0,A42=""),"",IF(A42=BaseDatos!$C$12,"",A42+1))</f>
        <v>19</v>
      </c>
      <c r="B43" s="185">
        <f>IF(AND(A43=20,$C$16=BaseDatos!$H$33), IF(OR(A42="",A43=""),"",DATE(YEAR(B42),MONTH(B42)+$A$19,DAY(B42)))+1,IF(OR(A42="",A43=""),"",DATE(YEAR(B42),MONTH(B42)+$A$19,DAY(B42))))</f>
        <v>47305</v>
      </c>
      <c r="C43" s="208">
        <f t="shared" si="1"/>
        <v>181</v>
      </c>
      <c r="D43" s="208">
        <f>IF(C43="","",SUM($C$24:C43))</f>
        <v>3469</v>
      </c>
      <c r="E43" s="209">
        <f>IF(ISERROR(mon*$C$20*C43),"",mon*$C$20*C43/L43+IF(BaseDatos!$C$12="",0,IF(A43=BaseDatos!$C$12,mon,0)))</f>
        <v>56407.534246575342</v>
      </c>
      <c r="F43" s="210">
        <f>IF(OR(E43="",H43&lt;&gt;1,vd=""),"",IF(A43=$A$20+1,IF(A43=BaseDatos!$C$12,mon+(E43-mon)*BaseDatos!$C$15,E43*BaseDatos!$C$15),E43))</f>
        <v>56407.534246575342</v>
      </c>
      <c r="G43" s="209">
        <f ca="1">IF(F43="","",(IF(OR($A$21=0,E43=""),"",E43/(1+BaseDatos!$C$14)^M43))-(E43-F43))</f>
        <v>23410.308807473502</v>
      </c>
      <c r="H43" s="192">
        <f t="shared" si="0"/>
        <v>1</v>
      </c>
      <c r="I43" s="224"/>
      <c r="L43" s="263">
        <f>IF(AND(A43=20,$C$16=BaseDatos!H32),IF(A43="","",C43+C42)-1,IF(A43="","",C43+C42))</f>
        <v>365</v>
      </c>
      <c r="M43" s="261">
        <f ca="1">IF(AND(A43=20,$C$16=BaseDatos!H32),IF(F43="","",(A43+BaseDatos!$C$15-1-$A$20))+(1/184), IF(F43="","",(A43+BaseDatos!$C$15-1-$A$20)))</f>
        <v>18.950549450549449</v>
      </c>
      <c r="O43" s="252"/>
    </row>
    <row r="44" spans="1:17" x14ac:dyDescent="0.2">
      <c r="A44" s="198">
        <f>IF(OR(BaseDatos!$C$12=0,A43=""),"",IF(A43=BaseDatos!$C$12,"",A43+1))</f>
        <v>20</v>
      </c>
      <c r="B44" s="185">
        <f>IF(AND(A44=20,$C$16=BaseDatos!$H$33), IF(OR(A43="",A44=""),"",DATE(YEAR(B43),MONTH(B43)+$A$19,DAY(B43)))+1,IF(OR(A43="",A44=""),"",DATE(YEAR(B43),MONTH(B43)+$A$19,DAY(B43))))</f>
        <v>47489</v>
      </c>
      <c r="C44" s="208">
        <f t="shared" si="1"/>
        <v>184</v>
      </c>
      <c r="D44" s="208">
        <f>IF(C44="","",SUM($C$24:C44))</f>
        <v>3653</v>
      </c>
      <c r="E44" s="209">
        <f>IF(ISERROR(mon*$C$20*C44),"",mon*$C$20*C44/L44+IF(BaseDatos!$C$12="",0,IF(A44=BaseDatos!$C$12,mon,0)))</f>
        <v>57342.465753424658</v>
      </c>
      <c r="F44" s="210">
        <f>IF(OR(E44="",H44&lt;&gt;1,vd=""),"",IF(A44=$A$20+1,IF(A44=BaseDatos!$C$12,mon+(E44-mon)*BaseDatos!$C$15,E44*BaseDatos!$C$15),E44))</f>
        <v>57342.465753424658</v>
      </c>
      <c r="G44" s="209">
        <f ca="1">IF(F44="","",(IF(OR($A$21=0,E44=""),"",E44/(1+BaseDatos!$C$14)^M44))-(E44-F44))</f>
        <v>22719.164654466029</v>
      </c>
      <c r="H44" s="192">
        <f t="shared" si="0"/>
        <v>1</v>
      </c>
      <c r="I44" s="224"/>
      <c r="L44" s="263">
        <f>IF(AND(A44=20,$C$16=BaseDatos!H33),IF(A44="","",C44+C43)-1,IF(A44="","",C44+C43))</f>
        <v>365</v>
      </c>
      <c r="M44" s="261">
        <f ca="1">IF(AND(A44=20,$C$16=BaseDatos!H33),IF(F44="","",(A44+BaseDatos!$C$15-1-$A$20))+(1/184), IF(F44="","",(A44+BaseDatos!$C$15-1-$A$20)))</f>
        <v>19.950549450549449</v>
      </c>
      <c r="O44" s="252"/>
    </row>
    <row r="45" spans="1:17" ht="12.75" customHeight="1" x14ac:dyDescent="0.2">
      <c r="A45" s="198">
        <f>IF(OR(BaseDatos!$C$12=0,A44=""),"",IF(A44=BaseDatos!$C$12,"",A44+1))</f>
        <v>21</v>
      </c>
      <c r="B45" s="185">
        <f t="shared" ref="B45:B57" si="2">IF(OR(A44="",A45=""),"",DATE(YEAR(B44),MONTH(B44)+$A$19,DAY(B44)))</f>
        <v>47670</v>
      </c>
      <c r="C45" s="208">
        <f>IF(ISNUMBER(B45),B45-B44,"")</f>
        <v>181</v>
      </c>
      <c r="D45" s="208">
        <f>IF(C45="","",SUM($C$24:C45))</f>
        <v>3834</v>
      </c>
      <c r="E45" s="209">
        <f>IF(ISERROR(mon*$C$20*C45),"",mon*$C$20*C45/L45+IF(BaseDatos!$C$12="",0,IF(A45=BaseDatos!$C$12,mon,0)))</f>
        <v>56407.534246575342</v>
      </c>
      <c r="F45" s="210">
        <f>IF(OR(E45="",H45&lt;&gt;1,vd=""),"",IF(A45=$A$20+1,IF(A45=BaseDatos!$C$12,mon+(E45-mon)*BaseDatos!$C$15,E45*BaseDatos!$C$15),E45))</f>
        <v>56407.534246575342</v>
      </c>
      <c r="G45" s="209">
        <f ca="1">IF(F45="","",(IF(OR($A$21=0,E45=""),"",E45/(1+BaseDatos!$C$14)^M45))-(E45-F45))</f>
        <v>21335.315982454864</v>
      </c>
      <c r="H45" s="192">
        <f t="shared" si="0"/>
        <v>1</v>
      </c>
      <c r="I45" s="224"/>
      <c r="L45" s="9">
        <f t="shared" ref="L45:L74" si="3">IF(A45="","",C45+C44)</f>
        <v>365</v>
      </c>
      <c r="M45" s="258">
        <f ca="1">IF(F45="","",(A45+BaseDatos!$C$15-1-$A$20))</f>
        <v>20.950549450549449</v>
      </c>
      <c r="N45" s="198" t="s">
        <v>157</v>
      </c>
    </row>
    <row r="46" spans="1:17" x14ac:dyDescent="0.2">
      <c r="A46" s="198">
        <f>IF(OR(BaseDatos!$C$12=0,A45=""),"",IF(A45=BaseDatos!$C$12,"",A45+1))</f>
        <v>22</v>
      </c>
      <c r="B46" s="185">
        <f t="shared" si="2"/>
        <v>47854</v>
      </c>
      <c r="C46" s="208">
        <f t="shared" ref="C46:C74" si="4">IF(ISNUMBER(B46),B46-B45,"")</f>
        <v>184</v>
      </c>
      <c r="D46" s="208">
        <f>IF(C46="","",SUM($C$24:C46))</f>
        <v>4018</v>
      </c>
      <c r="E46" s="209">
        <f>IF(ISERROR(mon*$C$20*C46),"",mon*$C$20*C46/L46+IF(BaseDatos!$C$12="",0,IF(A46=BaseDatos!$C$12,mon,0)))</f>
        <v>57342.465753424658</v>
      </c>
      <c r="F46" s="210">
        <f>IF(OR(E46="",H46&lt;&gt;1,vd=""),"",IF(A46=$A$20+1,IF(A46=BaseDatos!$C$12,mon+(E46-mon)*BaseDatos!$C$15,E46*BaseDatos!$C$15),E46))</f>
        <v>57342.465753424658</v>
      </c>
      <c r="G46" s="209">
        <f ca="1">IF(F46="","",(IF(OR($A$21=0,E46=""),"",E46/(1+BaseDatos!$C$14)^M46))-(E46-F46))</f>
        <v>20705.431984977098</v>
      </c>
      <c r="H46" s="192">
        <f t="shared" si="0"/>
        <v>1</v>
      </c>
      <c r="I46" s="224"/>
      <c r="L46" s="9">
        <f t="shared" si="3"/>
        <v>365</v>
      </c>
      <c r="M46" s="258">
        <f ca="1">IF(F46="","",(A46+BaseDatos!$C$15-1-$A$20))</f>
        <v>21.950549450549449</v>
      </c>
      <c r="N46" s="198" t="s">
        <v>157</v>
      </c>
    </row>
    <row r="47" spans="1:17" x14ac:dyDescent="0.2">
      <c r="A47" s="198">
        <f>IF(OR(BaseDatos!$C$12=0,A46=""),"",IF(A46=BaseDatos!$C$12,"",A46+1))</f>
        <v>23</v>
      </c>
      <c r="B47" s="185">
        <f t="shared" si="2"/>
        <v>48035</v>
      </c>
      <c r="C47" s="208">
        <f t="shared" si="4"/>
        <v>181</v>
      </c>
      <c r="D47" s="208">
        <f>IF(C47="","",SUM($C$24:C47))</f>
        <v>4199</v>
      </c>
      <c r="E47" s="209">
        <f>IF(ISERROR(mon*$C$20*C47),"",mon*$C$20*C47/L47+IF(BaseDatos!$C$12="",0,IF(A47=BaseDatos!$C$12,mon,0)))</f>
        <v>56407.534246575342</v>
      </c>
      <c r="F47" s="210">
        <f>IF(OR(E47="",H47&lt;&gt;1,vd=""),"",IF(A47=$A$20+1,IF(A47=BaseDatos!$C$12,mon+(E47-mon)*BaseDatos!$C$15,E47*BaseDatos!$C$15),E47))</f>
        <v>56407.534246575342</v>
      </c>
      <c r="G47" s="209">
        <f ca="1">IF(F47="","",(IF(OR($A$21=0,E47=""),"",E47/(1+BaseDatos!$C$14)^M47))-(E47-F47))</f>
        <v>19444.241928405387</v>
      </c>
      <c r="H47" s="192">
        <f t="shared" si="0"/>
        <v>1</v>
      </c>
      <c r="I47" s="224"/>
      <c r="L47" s="9">
        <f t="shared" si="3"/>
        <v>365</v>
      </c>
      <c r="M47" s="258">
        <f ca="1">IF(F47="","",(A47+BaseDatos!$C$15-1-$A$20))</f>
        <v>22.950549450549449</v>
      </c>
      <c r="N47" s="198" t="s">
        <v>157</v>
      </c>
    </row>
    <row r="48" spans="1:17" x14ac:dyDescent="0.2">
      <c r="A48" s="198">
        <f>IF(OR(BaseDatos!$C$12=0,A47=""),"",IF(A47=BaseDatos!$C$12,"",A47+1))</f>
        <v>24</v>
      </c>
      <c r="B48" s="185">
        <f t="shared" si="2"/>
        <v>48219</v>
      </c>
      <c r="C48" s="208">
        <f t="shared" si="4"/>
        <v>184</v>
      </c>
      <c r="D48" s="208">
        <f>IF(C48="","",SUM($C$24:C48))</f>
        <v>4383</v>
      </c>
      <c r="E48" s="209">
        <f>IF(ISERROR(mon*$C$20*C48),"",mon*$C$20*C48/L48+IF(BaseDatos!$C$12="",0,IF(A48=BaseDatos!$C$12,mon,0)))</f>
        <v>57342.465753424658</v>
      </c>
      <c r="F48" s="210">
        <f>IF(OR(E48="",H48&lt;&gt;1,vd=""),"",IF(A48=$A$20+1,IF(A48=BaseDatos!$C$12,mon+(E48-mon)*BaseDatos!$C$15,E48*BaseDatos!$C$15),E48))</f>
        <v>57342.465753424658</v>
      </c>
      <c r="G48" s="209">
        <f ca="1">IF(F48="","",(IF(OR($A$21=0,E48=""),"",E48/(1+BaseDatos!$C$14)^M48))-(E48-F48))</f>
        <v>18870.188239964089</v>
      </c>
      <c r="H48" s="192">
        <f t="shared" si="0"/>
        <v>1</v>
      </c>
      <c r="I48" s="224"/>
      <c r="L48" s="9">
        <f t="shared" si="3"/>
        <v>365</v>
      </c>
      <c r="M48" s="258">
        <f ca="1">IF(F48="","",(A48+BaseDatos!$C$15-1-$A$20))</f>
        <v>23.950549450549449</v>
      </c>
      <c r="N48" s="198" t="s">
        <v>157</v>
      </c>
    </row>
    <row r="49" spans="1:14" x14ac:dyDescent="0.2">
      <c r="A49" s="198">
        <f>IF(OR(BaseDatos!$C$12=0,A48=""),"",IF(A48=BaseDatos!$C$12,"",A48+1))</f>
        <v>25</v>
      </c>
      <c r="B49" s="185">
        <f t="shared" si="2"/>
        <v>48401</v>
      </c>
      <c r="C49" s="208">
        <f t="shared" si="4"/>
        <v>182</v>
      </c>
      <c r="D49" s="208">
        <f>IF(C49="","",SUM($C$24:C49))</f>
        <v>4565</v>
      </c>
      <c r="E49" s="209">
        <f>IF(ISERROR(mon*$C$20*C49),"",mon*$C$20*C49/L49+IF(BaseDatos!$C$12="",0,IF(A49=BaseDatos!$C$12,mon,0)))</f>
        <v>56564.207650273223</v>
      </c>
      <c r="F49" s="210">
        <f>IF(OR(E49="",H49&lt;&gt;1,vd=""),"",IF(A49=$A$20+1,IF(A49=BaseDatos!$C$12,mon+(E49-mon)*BaseDatos!$C$15,E49*BaseDatos!$C$15),E49))</f>
        <v>56564.207650273223</v>
      </c>
      <c r="G49" s="209">
        <f ca="1">IF(F49="","",(IF(OR($A$21=0,E49=""),"",E49/(1+BaseDatos!$C$14)^M49))-(E49-F49))</f>
        <v>17770.004791142717</v>
      </c>
      <c r="H49" s="192">
        <f t="shared" si="0"/>
        <v>1</v>
      </c>
      <c r="I49" s="224"/>
      <c r="L49" s="9">
        <f t="shared" si="3"/>
        <v>366</v>
      </c>
      <c r="M49" s="258">
        <f ca="1">IF(F49="","",(A49+BaseDatos!$C$15-1-$A$20))</f>
        <v>24.950549450549449</v>
      </c>
      <c r="N49" s="198" t="s">
        <v>157</v>
      </c>
    </row>
    <row r="50" spans="1:14" x14ac:dyDescent="0.2">
      <c r="A50" s="198">
        <f>IF(OR(BaseDatos!$C$12=0,A49=""),"",IF(A49=BaseDatos!$C$12,"",A49+1))</f>
        <v>26</v>
      </c>
      <c r="B50" s="185">
        <f t="shared" si="2"/>
        <v>48585</v>
      </c>
      <c r="C50" s="208">
        <f t="shared" si="4"/>
        <v>184</v>
      </c>
      <c r="D50" s="208">
        <f>IF(C50="","",SUM($C$24:C50))</f>
        <v>4749</v>
      </c>
      <c r="E50" s="209">
        <f>IF(ISERROR(mon*$C$20*C50),"",mon*$C$20*C50/L50+IF(BaseDatos!$C$12="",0,IF(A50=BaseDatos!$C$12,mon,0)))</f>
        <v>57185.792349726777</v>
      </c>
      <c r="F50" s="210">
        <f>IF(OR(E50="",H50&lt;&gt;1,vd=""),"",IF(A50=$A$20+1,IF(A50=BaseDatos!$C$12,mon+(E50-mon)*BaseDatos!$C$15,E50*BaseDatos!$C$15),E50))</f>
        <v>57185.792349726777</v>
      </c>
      <c r="G50" s="209">
        <f ca="1">IF(F50="","",(IF(OR($A$21=0,E50=""),"",E50/(1+BaseDatos!$C$14)^M50))-(E50-F50))</f>
        <v>17150.624886937818</v>
      </c>
      <c r="H50" s="192">
        <f t="shared" si="0"/>
        <v>1</v>
      </c>
      <c r="I50" s="224"/>
      <c r="L50" s="9">
        <f t="shared" si="3"/>
        <v>366</v>
      </c>
      <c r="M50" s="258">
        <f ca="1">IF(F50="","",(A50+BaseDatos!$C$15-1-$A$20))</f>
        <v>25.950549450549449</v>
      </c>
      <c r="N50" s="198" t="s">
        <v>157</v>
      </c>
    </row>
    <row r="51" spans="1:14" x14ac:dyDescent="0.2">
      <c r="A51" s="198">
        <f>IF(OR(BaseDatos!$C$12=0,A50=""),"",IF(A50=BaseDatos!$C$12,"",A50+1))</f>
        <v>27</v>
      </c>
      <c r="B51" s="185">
        <f t="shared" si="2"/>
        <v>48766</v>
      </c>
      <c r="C51" s="208">
        <f t="shared" si="4"/>
        <v>181</v>
      </c>
      <c r="D51" s="208">
        <f>IF(C51="","",SUM($C$24:C51))</f>
        <v>4930</v>
      </c>
      <c r="E51" s="209">
        <f>IF(ISERROR(mon*$C$20*C51),"",mon*$C$20*C51/L51+IF(BaseDatos!$C$12="",0,IF(A51=BaseDatos!$C$12,mon,0)))</f>
        <v>56407.534246575342</v>
      </c>
      <c r="F51" s="210">
        <f>IF(OR(E51="",H51&lt;&gt;1,vd=""),"",IF(A51=$A$20+1,IF(A51=BaseDatos!$C$12,mon+(E51-mon)*BaseDatos!$C$15,E51*BaseDatos!$C$15),E51))</f>
        <v>56407.534246575342</v>
      </c>
      <c r="G51" s="209">
        <f ca="1">IF(F51="","",(IF(OR($A$21=0,E51=""),"",E51/(1+BaseDatos!$C$14)^M51))-(E51-F51))</f>
        <v>16150.0878642686</v>
      </c>
      <c r="H51" s="192">
        <f t="shared" si="0"/>
        <v>1</v>
      </c>
      <c r="I51" s="224"/>
      <c r="L51" s="9">
        <f t="shared" si="3"/>
        <v>365</v>
      </c>
      <c r="M51" s="258">
        <f ca="1">IF(F51="","",(A51+BaseDatos!$C$15-1-$A$20))</f>
        <v>26.950549450549449</v>
      </c>
      <c r="N51" s="198" t="s">
        <v>157</v>
      </c>
    </row>
    <row r="52" spans="1:14" x14ac:dyDescent="0.2">
      <c r="A52" s="198">
        <f>IF(OR(BaseDatos!$C$12=0,A51=""),"",IF(A51=BaseDatos!$C$12,"",A51+1))</f>
        <v>28</v>
      </c>
      <c r="B52" s="185">
        <f t="shared" si="2"/>
        <v>48950</v>
      </c>
      <c r="C52" s="208">
        <f t="shared" si="4"/>
        <v>184</v>
      </c>
      <c r="D52" s="208">
        <f>IF(C52="","",SUM($C$24:C52))</f>
        <v>5114</v>
      </c>
      <c r="E52" s="209">
        <f>IF(ISERROR(mon*$C$20*C52),"",mon*$C$20*C52/L52+IF(BaseDatos!$C$12="",0,IF(A52=BaseDatos!$C$12,mon,0)))</f>
        <v>57342.465753424658</v>
      </c>
      <c r="F52" s="210">
        <f>IF(OR(E52="",H52&lt;&gt;1,vd=""),"",IF(A52=$A$20+1,IF(A52=BaseDatos!$C$12,mon+(E52-mon)*BaseDatos!$C$15,E52*BaseDatos!$C$15),E52))</f>
        <v>57342.465753424658</v>
      </c>
      <c r="G52" s="209">
        <f ca="1">IF(F52="","",(IF(OR($A$21=0,E52=""),"",E52/(1+BaseDatos!$C$14)^M52))-(E52-F52))</f>
        <v>15673.28771226109</v>
      </c>
      <c r="H52" s="192">
        <f t="shared" si="0"/>
        <v>1</v>
      </c>
      <c r="I52" s="224"/>
      <c r="L52" s="9">
        <f t="shared" si="3"/>
        <v>365</v>
      </c>
      <c r="M52" s="258">
        <f ca="1">IF(F52="","",(A52+BaseDatos!$C$15-1-$A$20))</f>
        <v>27.950549450549449</v>
      </c>
      <c r="N52" s="198" t="s">
        <v>157</v>
      </c>
    </row>
    <row r="53" spans="1:14" x14ac:dyDescent="0.2">
      <c r="A53" s="198">
        <f>IF(OR(BaseDatos!$C$12=0,A52=""),"",IF(A52=BaseDatos!$C$12,"",A52+1))</f>
        <v>29</v>
      </c>
      <c r="B53" s="185">
        <f t="shared" si="2"/>
        <v>49131</v>
      </c>
      <c r="C53" s="208">
        <f t="shared" si="4"/>
        <v>181</v>
      </c>
      <c r="D53" s="208">
        <f>IF(C53="","",SUM($C$24:C53))</f>
        <v>5295</v>
      </c>
      <c r="E53" s="209">
        <f>IF(ISERROR(mon*$C$20*C53),"",mon*$C$20*C53/L53+IF(BaseDatos!$C$12="",0,IF(A53=BaseDatos!$C$12,mon,0)))</f>
        <v>56407.534246575342</v>
      </c>
      <c r="F53" s="210">
        <f>IF(OR(E53="",H53&lt;&gt;1,vd=""),"",IF(A53=$A$20+1,IF(A53=BaseDatos!$C$12,mon+(E53-mon)*BaseDatos!$C$15,E53*BaseDatos!$C$15),E53))</f>
        <v>56407.534246575342</v>
      </c>
      <c r="G53" s="209">
        <f ca="1">IF(F53="","",(IF(OR($A$21=0,E53=""),"",E53/(1+BaseDatos!$C$14)^M53))-(E53-F53))</f>
        <v>14718.610957348019</v>
      </c>
      <c r="H53" s="192">
        <f t="shared" si="0"/>
        <v>1</v>
      </c>
      <c r="I53" s="224"/>
      <c r="L53" s="9">
        <f t="shared" si="3"/>
        <v>365</v>
      </c>
      <c r="M53" s="258">
        <f ca="1">IF(F53="","",(A53+BaseDatos!$C$15-1-$A$20))</f>
        <v>28.950549450549449</v>
      </c>
      <c r="N53" s="198" t="s">
        <v>157</v>
      </c>
    </row>
    <row r="54" spans="1:14" x14ac:dyDescent="0.2">
      <c r="A54" s="198">
        <f>IF(OR(BaseDatos!$C$12=0,A53=""),"",IF(A53=BaseDatos!$C$12,"",A53+1))</f>
        <v>30</v>
      </c>
      <c r="B54" s="185">
        <f t="shared" si="2"/>
        <v>49315</v>
      </c>
      <c r="C54" s="208">
        <f t="shared" si="4"/>
        <v>184</v>
      </c>
      <c r="D54" s="208">
        <f>IF(C54="","",SUM($C$24:C54))</f>
        <v>5479</v>
      </c>
      <c r="E54" s="209">
        <f>IF(ISERROR(mon*$C$20*C54),"",mon*$C$20*C54/L54+IF(BaseDatos!$C$12="",0,IF(A54=BaseDatos!$C$12,mon,0)))</f>
        <v>57342.465753424658</v>
      </c>
      <c r="F54" s="210">
        <f>IF(OR(E54="",H54&lt;&gt;1,vd=""),"",IF(A54=$A$20+1,IF(A54=BaseDatos!$C$12,mon+(E54-mon)*BaseDatos!$C$15,E54*BaseDatos!$C$15),E54))</f>
        <v>57342.465753424658</v>
      </c>
      <c r="G54" s="209">
        <f ca="1">IF(F54="","",(IF(OR($A$21=0,E54=""),"",E54/(1+BaseDatos!$C$14)^M54))-(E54-F54))</f>
        <v>14284.072396271233</v>
      </c>
      <c r="H54" s="192">
        <f t="shared" si="0"/>
        <v>1</v>
      </c>
      <c r="I54" s="224"/>
      <c r="L54" s="9">
        <f t="shared" si="3"/>
        <v>365</v>
      </c>
      <c r="M54" s="258">
        <f ca="1">IF(F54="","",(A54+BaseDatos!$C$15-1-$A$20))</f>
        <v>29.950549450549449</v>
      </c>
      <c r="N54" s="198" t="s">
        <v>157</v>
      </c>
    </row>
    <row r="55" spans="1:14" x14ac:dyDescent="0.2">
      <c r="A55" s="198">
        <f>IF(OR(BaseDatos!$C$12=0,A54=""),"",IF(A54=BaseDatos!$C$12,"",A54+1))</f>
        <v>31</v>
      </c>
      <c r="B55" s="185">
        <f t="shared" si="2"/>
        <v>49496</v>
      </c>
      <c r="C55" s="208">
        <f t="shared" si="4"/>
        <v>181</v>
      </c>
      <c r="D55" s="208">
        <f>IF(C55="","",SUM($C$24:C55))</f>
        <v>5660</v>
      </c>
      <c r="E55" s="209">
        <f>IF(ISERROR(mon*$C$20*C55),"",mon*$C$20*C55/L55+IF(BaseDatos!$C$12="",0,IF(A55=BaseDatos!$C$12,mon,0)))</f>
        <v>56407.534246575342</v>
      </c>
      <c r="F55" s="210">
        <f>IF(OR(E55="",H55&lt;&gt;1,vd=""),"",IF(A55=$A$20+1,IF(A55=BaseDatos!$C$12,mon+(E55-mon)*BaseDatos!$C$15,E55*BaseDatos!$C$15),E55))</f>
        <v>56407.534246575342</v>
      </c>
      <c r="G55" s="209">
        <f ca="1">IF(F55="","",(IF(OR($A$21=0,E55=""),"",E55/(1+BaseDatos!$C$14)^M55))-(E55-F55))</f>
        <v>13414.014235369374</v>
      </c>
      <c r="H55" s="192">
        <f t="shared" si="0"/>
        <v>1</v>
      </c>
      <c r="I55" s="224"/>
      <c r="L55" s="9">
        <f t="shared" si="3"/>
        <v>365</v>
      </c>
      <c r="M55" s="258">
        <f ca="1">IF(F55="","",(A55+BaseDatos!$C$15-1-$A$20))</f>
        <v>30.950549450549449</v>
      </c>
      <c r="N55" s="198" t="s">
        <v>157</v>
      </c>
    </row>
    <row r="56" spans="1:14" x14ac:dyDescent="0.2">
      <c r="A56" s="198">
        <f>IF(OR(BaseDatos!$C$12=0,A55=""),"",IF(A55=BaseDatos!$C$12,"",A55+1))</f>
        <v>32</v>
      </c>
      <c r="B56" s="185">
        <f t="shared" si="2"/>
        <v>49680</v>
      </c>
      <c r="C56" s="208">
        <f t="shared" si="4"/>
        <v>184</v>
      </c>
      <c r="D56" s="208">
        <f>IF(C56="","",SUM($C$24:C56))</f>
        <v>5844</v>
      </c>
      <c r="E56" s="209">
        <f>IF(ISERROR(mon*$C$20*C56),"",mon*$C$20*C56/L56+IF(BaseDatos!$C$12="",0,IF(A56=BaseDatos!$C$12,mon,0)))</f>
        <v>57342.465753424658</v>
      </c>
      <c r="F56" s="210">
        <f>IF(OR(E56="",H56&lt;&gt;1,vd=""),"",IF(A56=$A$20+1,IF(A56=BaseDatos!$C$12,mon+(E56-mon)*BaseDatos!$C$15,E56*BaseDatos!$C$15),E56))</f>
        <v>57342.465753424658</v>
      </c>
      <c r="G56" s="209">
        <f ca="1">IF(F56="","",(IF(OR($A$21=0,E56=""),"",E56/(1+BaseDatos!$C$14)^M56))-(E56-F56))</f>
        <v>13017.991372818547</v>
      </c>
      <c r="H56" s="192">
        <f t="shared" si="0"/>
        <v>1</v>
      </c>
      <c r="I56" s="224"/>
      <c r="L56" s="9">
        <f t="shared" si="3"/>
        <v>365</v>
      </c>
      <c r="M56" s="258">
        <f ca="1">IF(F56="","",(A56+BaseDatos!$C$15-1-$A$20))</f>
        <v>31.950549450549453</v>
      </c>
      <c r="N56" s="198" t="s">
        <v>157</v>
      </c>
    </row>
    <row r="57" spans="1:14" x14ac:dyDescent="0.2">
      <c r="A57" s="198">
        <f>IF(OR(BaseDatos!$C$12=0,A56=""),"",IF(A56=BaseDatos!$C$12,"",A56+1))</f>
        <v>33</v>
      </c>
      <c r="B57" s="185">
        <f t="shared" si="2"/>
        <v>49862</v>
      </c>
      <c r="C57" s="208">
        <f t="shared" si="4"/>
        <v>182</v>
      </c>
      <c r="D57" s="208">
        <f>IF(C57="","",SUM($C$24:C57))</f>
        <v>6026</v>
      </c>
      <c r="E57" s="209">
        <f>IF(ISERROR(mon*$C$20*C57),"",mon*$C$20*C57/L57+IF(BaseDatos!$C$12="",0,IF(A57=BaseDatos!$C$12,mon,0)))</f>
        <v>56564.207650273223</v>
      </c>
      <c r="F57" s="210">
        <f>IF(OR(E57="",H57&lt;&gt;1,vd=""),"",IF(A57=$A$20+1,IF(A57=BaseDatos!$C$12,mon+(E57-mon)*BaseDatos!$C$15,E57*BaseDatos!$C$15),E57))</f>
        <v>56564.207650273223</v>
      </c>
      <c r="G57" s="209">
        <f ca="1">IF(F57="","",(IF(OR($A$21=0,E57=""),"",E57/(1+BaseDatos!$C$14)^M57))-(E57-F57))</f>
        <v>12259.006965077331</v>
      </c>
      <c r="H57" s="192">
        <f t="shared" si="0"/>
        <v>1</v>
      </c>
      <c r="I57" s="224"/>
      <c r="L57" s="9">
        <f t="shared" si="3"/>
        <v>366</v>
      </c>
      <c r="M57" s="258">
        <f ca="1">IF(F57="","",(A57+BaseDatos!$C$15-1-$A$20))</f>
        <v>32.950549450549453</v>
      </c>
      <c r="N57" s="198" t="s">
        <v>157</v>
      </c>
    </row>
    <row r="58" spans="1:14" x14ac:dyDescent="0.2">
      <c r="A58" s="198">
        <f>IF(OR(BaseDatos!$C$12=0,A57=""),"",IF(A57=BaseDatos!$C$12,"",A57+1))</f>
        <v>34</v>
      </c>
      <c r="B58" s="185">
        <f t="shared" ref="B58:B74" si="5">IF(OR(A57="",A58=""),"",DATE(YEAR(B57),MONTH(B57)+$A$19,DAY(B57)))</f>
        <v>50046</v>
      </c>
      <c r="C58" s="208">
        <f t="shared" si="4"/>
        <v>184</v>
      </c>
      <c r="D58" s="208">
        <f>IF(C58="","",SUM($C$24:C58))</f>
        <v>6210</v>
      </c>
      <c r="E58" s="209">
        <f>IF(ISERROR(mon*$C$20*C58),"",mon*$C$20*C58/L58+IF(BaseDatos!$C$12="",0,IF(A58=BaseDatos!$C$12,mon,0)))</f>
        <v>57185.792349726777</v>
      </c>
      <c r="F58" s="210">
        <f>IF(OR(E58="",H58&lt;&gt;1,vd=""),"",IF(A58=$A$20+1,IF(A58=BaseDatos!$C$12,mon+(E58-mon)*BaseDatos!$C$15,E58*BaseDatos!$C$15),E58))</f>
        <v>57185.792349726777</v>
      </c>
      <c r="G58" s="209">
        <f ca="1">IF(F58="","",(IF(OR($A$21=0,E58=""),"",E58/(1+BaseDatos!$C$14)^M58))-(E58-F58))</f>
        <v>11831.714870960315</v>
      </c>
      <c r="H58" s="192">
        <f t="shared" si="0"/>
        <v>1</v>
      </c>
      <c r="I58" s="224"/>
      <c r="L58" s="9">
        <f t="shared" si="3"/>
        <v>366</v>
      </c>
      <c r="M58" s="258">
        <f ca="1">IF(F58="","",(A58+BaseDatos!$C$15-1-$A$20))</f>
        <v>33.950549450549453</v>
      </c>
      <c r="N58" s="198" t="s">
        <v>157</v>
      </c>
    </row>
    <row r="59" spans="1:14" x14ac:dyDescent="0.2">
      <c r="A59" s="198">
        <f>IF(OR(BaseDatos!$C$12=0,A58=""),"",IF(A58=BaseDatos!$C$12,"",A58+1))</f>
        <v>35</v>
      </c>
      <c r="B59" s="185">
        <f t="shared" si="5"/>
        <v>50227</v>
      </c>
      <c r="C59" s="208">
        <f t="shared" si="4"/>
        <v>181</v>
      </c>
      <c r="D59" s="208">
        <f>IF(C59="","",SUM($C$24:C59))</f>
        <v>6391</v>
      </c>
      <c r="E59" s="209">
        <f>IF(ISERROR(mon*$C$20*C59),"",mon*$C$20*C59/L59+IF(BaseDatos!$C$12="",0,IF(A59=BaseDatos!$C$12,mon,0)))</f>
        <v>56407.534246575342</v>
      </c>
      <c r="F59" s="210">
        <f>IF(OR(E59="",H59&lt;&gt;1,vd=""),"",IF(A59=$A$20+1,IF(A59=BaseDatos!$C$12,mon+(E59-mon)*BaseDatos!$C$15,E59*BaseDatos!$C$15),E59))</f>
        <v>56407.534246575342</v>
      </c>
      <c r="G59" s="209">
        <f ca="1">IF(F59="","",(IF(OR($A$21=0,E59=""),"",E59/(1+BaseDatos!$C$14)^M59))-(E59-F59))</f>
        <v>11141.473620387702</v>
      </c>
      <c r="H59" s="192">
        <f t="shared" si="0"/>
        <v>1</v>
      </c>
      <c r="I59" s="224"/>
      <c r="L59" s="9">
        <f t="shared" si="3"/>
        <v>365</v>
      </c>
      <c r="M59" s="258">
        <f ca="1">IF(F59="","",(A59+BaseDatos!$C$15-1-$A$20))</f>
        <v>34.950549450549453</v>
      </c>
      <c r="N59" s="198" t="s">
        <v>157</v>
      </c>
    </row>
    <row r="60" spans="1:14" x14ac:dyDescent="0.2">
      <c r="A60" s="198">
        <f>IF(OR(BaseDatos!$C$12=0,A59=""),"",IF(A59=BaseDatos!$C$12,"",A59+1))</f>
        <v>36</v>
      </c>
      <c r="B60" s="185">
        <f t="shared" si="5"/>
        <v>50411</v>
      </c>
      <c r="C60" s="208">
        <f t="shared" si="4"/>
        <v>184</v>
      </c>
      <c r="D60" s="208">
        <f>IF(C60="","",SUM($C$24:C60))</f>
        <v>6575</v>
      </c>
      <c r="E60" s="209">
        <f>IF(ISERROR(mon*$C$20*C60),"",mon*$C$20*C60/L60+IF(BaseDatos!$C$12="",0,IF(A60=BaseDatos!$C$12,mon,0)))</f>
        <v>57342.465753424658</v>
      </c>
      <c r="F60" s="210">
        <f>IF(OR(E60="",H60&lt;&gt;1,vd=""),"",IF(A60=$A$20+1,IF(A60=BaseDatos!$C$12,mon+(E60-mon)*BaseDatos!$C$15,E60*BaseDatos!$C$15),E60))</f>
        <v>57342.465753424658</v>
      </c>
      <c r="G60" s="209">
        <f ca="1">IF(F60="","",(IF(OR($A$21=0,E60=""),"",E60/(1+BaseDatos!$C$14)^M60))-(E60-F60))</f>
        <v>10812.543130322591</v>
      </c>
      <c r="H60" s="192">
        <f t="shared" si="0"/>
        <v>1</v>
      </c>
      <c r="I60" s="224"/>
      <c r="L60" s="9">
        <f t="shared" si="3"/>
        <v>365</v>
      </c>
      <c r="M60" s="258">
        <f ca="1">IF(F60="","",(A60+BaseDatos!$C$15-1-$A$20))</f>
        <v>35.950549450549453</v>
      </c>
      <c r="N60" s="198" t="s">
        <v>157</v>
      </c>
    </row>
    <row r="61" spans="1:14" x14ac:dyDescent="0.2">
      <c r="A61" s="198">
        <f>IF(OR(BaseDatos!$C$12=0,A60=""),"",IF(A60=BaseDatos!$C$12,"",A60+1))</f>
        <v>37</v>
      </c>
      <c r="B61" s="185">
        <f t="shared" si="5"/>
        <v>50592</v>
      </c>
      <c r="C61" s="208">
        <f t="shared" si="4"/>
        <v>181</v>
      </c>
      <c r="D61" s="208">
        <f>IF(C61="","",SUM($C$24:C61))</f>
        <v>6756</v>
      </c>
      <c r="E61" s="209">
        <f>IF(ISERROR(mon*$C$20*C61),"",mon*$C$20*C61/L61+IF(BaseDatos!$C$12="",0,IF(A61=BaseDatos!$C$12,mon,0)))</f>
        <v>56407.534246575342</v>
      </c>
      <c r="F61" s="210">
        <f>IF(OR(E61="",H61&lt;&gt;1,vd=""),"",IF(A61=$A$20+1,IF(A61=BaseDatos!$C$12,mon+(E61-mon)*BaseDatos!$C$15,E61*BaseDatos!$C$15),E61))</f>
        <v>56407.534246575342</v>
      </c>
      <c r="G61" s="209">
        <f ca="1">IF(F61="","",(IF(OR($A$21=0,E61=""),"",E61/(1+BaseDatos!$C$14)^M61))-(E61-F61))</f>
        <v>10153.939538177796</v>
      </c>
      <c r="H61" s="192">
        <f t="shared" si="0"/>
        <v>1</v>
      </c>
      <c r="I61" s="224"/>
      <c r="L61" s="9">
        <f t="shared" si="3"/>
        <v>365</v>
      </c>
      <c r="M61" s="258">
        <f ca="1">IF(F61="","",(A61+BaseDatos!$C$15-1-$A$20))</f>
        <v>36.950549450549453</v>
      </c>
      <c r="N61" s="198" t="s">
        <v>157</v>
      </c>
    </row>
    <row r="62" spans="1:14" x14ac:dyDescent="0.2">
      <c r="A62" s="198">
        <f>IF(OR(BaseDatos!$C$12=0,A61=""),"",IF(A61=BaseDatos!$C$12,"",A61+1))</f>
        <v>38</v>
      </c>
      <c r="B62" s="185">
        <f t="shared" si="5"/>
        <v>50776</v>
      </c>
      <c r="C62" s="208">
        <f t="shared" si="4"/>
        <v>184</v>
      </c>
      <c r="D62" s="208">
        <f>IF(C62="","",SUM($C$24:C62))</f>
        <v>6940</v>
      </c>
      <c r="E62" s="209">
        <f>IF(ISERROR(mon*$C$20*C62),"",mon*$C$20*C62/L62+IF(BaseDatos!$C$12="",0,IF(A62=BaseDatos!$C$12,mon,0)))</f>
        <v>57342.465753424658</v>
      </c>
      <c r="F62" s="210">
        <f>IF(OR(E62="",H62&lt;&gt;1,vd=""),"",IF(A62=$A$20+1,IF(A62=BaseDatos!$C$12,mon+(E62-mon)*BaseDatos!$C$15,E62*BaseDatos!$C$15),E62))</f>
        <v>57342.465753424658</v>
      </c>
      <c r="G62" s="209">
        <f ca="1">IF(F62="","",(IF(OR($A$21=0,E62=""),"",E62/(1+BaseDatos!$C$14)^M62))-(E62-F62))</f>
        <v>9854.1640845723923</v>
      </c>
      <c r="H62" s="192">
        <f t="shared" si="0"/>
        <v>1</v>
      </c>
      <c r="I62" s="224"/>
      <c r="L62" s="9">
        <f t="shared" si="3"/>
        <v>365</v>
      </c>
      <c r="M62" s="258">
        <f ca="1">IF(F62="","",(A62+BaseDatos!$C$15-1-$A$20))</f>
        <v>37.950549450549453</v>
      </c>
      <c r="N62" s="198" t="s">
        <v>157</v>
      </c>
    </row>
    <row r="63" spans="1:14" x14ac:dyDescent="0.2">
      <c r="A63" s="198">
        <f>IF(OR(BaseDatos!$C$12=0,A62=""),"",IF(A62=BaseDatos!$C$12,"",A62+1))</f>
        <v>39</v>
      </c>
      <c r="B63" s="185">
        <f t="shared" si="5"/>
        <v>50957</v>
      </c>
      <c r="C63" s="208">
        <f t="shared" si="4"/>
        <v>181</v>
      </c>
      <c r="D63" s="208">
        <f>IF(C63="","",SUM($C$24:C63))</f>
        <v>7121</v>
      </c>
      <c r="E63" s="209">
        <f>IF(ISERROR(mon*$C$20*C63),"",mon*$C$20*C63/L63+IF(BaseDatos!$C$12="",0,IF(A63=BaseDatos!$C$12,mon,0)))</f>
        <v>56407.534246575342</v>
      </c>
      <c r="F63" s="210">
        <f>IF(OR(E63="",H63&lt;&gt;1,vd=""),"",IF(A63=$A$20+1,IF(A63=BaseDatos!$C$12,mon+(E63-mon)*BaseDatos!$C$15,E63*BaseDatos!$C$15),E63))</f>
        <v>56407.534246575342</v>
      </c>
      <c r="G63" s="209">
        <f ca="1">IF(F63="","",(IF(OR($A$21=0,E63=""),"",E63/(1+BaseDatos!$C$14)^M63))-(E63-F63))</f>
        <v>9253.9363874006594</v>
      </c>
      <c r="H63" s="192">
        <f t="shared" si="0"/>
        <v>1</v>
      </c>
      <c r="I63" s="224"/>
      <c r="L63" s="9">
        <f t="shared" si="3"/>
        <v>365</v>
      </c>
      <c r="M63" s="258">
        <f ca="1">IF(F63="","",(A63+BaseDatos!$C$15-1-$A$20))</f>
        <v>38.950549450549453</v>
      </c>
      <c r="N63" s="198" t="s">
        <v>157</v>
      </c>
    </row>
    <row r="64" spans="1:14" x14ac:dyDescent="0.2">
      <c r="A64" s="198">
        <f>IF(OR(BaseDatos!$C$12=0,A63=""),"",IF(A63=BaseDatos!$C$12,"",A63+1))</f>
        <v>40</v>
      </c>
      <c r="B64" s="185">
        <f t="shared" si="5"/>
        <v>51141</v>
      </c>
      <c r="C64" s="208">
        <f t="shared" si="4"/>
        <v>184</v>
      </c>
      <c r="D64" s="208">
        <f>IF(C64="","",SUM($C$24:C64))</f>
        <v>7305</v>
      </c>
      <c r="E64" s="209">
        <f>IF(ISERROR(mon*$C$20*C64),"",mon*$C$20*C64/L64+IF(BaseDatos!$C$12="",0,IF(A64=BaseDatos!$C$12,mon,0)))</f>
        <v>1057342.4657534247</v>
      </c>
      <c r="F64" s="210">
        <f>IF(OR(E64="",H64&lt;&gt;1,vd=""),"",IF(A64=$A$20+1,IF(A64=BaseDatos!$C$12,mon+(E64-mon)*BaseDatos!$C$15,E64*BaseDatos!$C$15),E64))</f>
        <v>1057342.4657534247</v>
      </c>
      <c r="G64" s="209">
        <f ca="1">IF(F64="","",(IF(OR($A$21=0,E64=""),"",E64/(1+BaseDatos!$C$14)^M64))-(E64-F64))</f>
        <v>165596.45576490212</v>
      </c>
      <c r="H64" s="192">
        <f t="shared" si="0"/>
        <v>1</v>
      </c>
      <c r="I64" s="224"/>
      <c r="L64" s="9">
        <f t="shared" si="3"/>
        <v>365</v>
      </c>
      <c r="M64" s="258">
        <f ca="1">IF(F64="","",(A64+BaseDatos!$C$15-1-$A$20))</f>
        <v>39.950549450549453</v>
      </c>
      <c r="N64" s="198" t="s">
        <v>157</v>
      </c>
    </row>
    <row r="65" spans="1:14" x14ac:dyDescent="0.2">
      <c r="A65" s="198" t="str">
        <f>IF(OR(BaseDatos!$C$12=0,A64=""),"",IF(A64=BaseDatos!$C$12,"",A64+1))</f>
        <v/>
      </c>
      <c r="B65" s="185" t="str">
        <f t="shared" si="5"/>
        <v/>
      </c>
      <c r="C65" s="208" t="str">
        <f t="shared" si="4"/>
        <v/>
      </c>
      <c r="D65" s="208" t="str">
        <f>IF(C65="","",SUM($C$24:C65))</f>
        <v/>
      </c>
      <c r="E65" s="209" t="str">
        <f>IF(ISERROR(mon*$C$20*C65),"",mon*$C$20*C65/L65+IF(BaseDatos!$C$12="",0,IF(A65=BaseDatos!$C$12,mon,0)))</f>
        <v/>
      </c>
      <c r="F65" s="210" t="str">
        <f>IF(OR(E65="",H65&lt;&gt;1,vd=""),"",IF(A65=$A$20+1,IF(A65=BaseDatos!$C$12,mon+(E65-mon)*BaseDatos!$C$15,E65*BaseDatos!$C$15),E65))</f>
        <v/>
      </c>
      <c r="G65" s="209" t="str">
        <f>IF(F65="","",(IF(OR($A$21=0,E65=""),"",E65/(1+BaseDatos!$C$14)^M65))-(E65-F65))</f>
        <v/>
      </c>
      <c r="H65" s="192" t="str">
        <f t="shared" si="0"/>
        <v/>
      </c>
      <c r="I65" s="224"/>
      <c r="L65" s="9" t="str">
        <f t="shared" si="3"/>
        <v/>
      </c>
      <c r="M65" s="258" t="str">
        <f>IF(F65="","",(A65+BaseDatos!$C$15-1-$A$20))</f>
        <v/>
      </c>
      <c r="N65" s="198" t="s">
        <v>157</v>
      </c>
    </row>
    <row r="66" spans="1:14" x14ac:dyDescent="0.2">
      <c r="A66" s="198" t="str">
        <f>IF(OR(BaseDatos!$C$12=0,A65=""),"",IF(A65=BaseDatos!$C$12,"",A65+1))</f>
        <v/>
      </c>
      <c r="B66" s="185" t="str">
        <f t="shared" si="5"/>
        <v/>
      </c>
      <c r="C66" s="208" t="str">
        <f t="shared" si="4"/>
        <v/>
      </c>
      <c r="D66" s="208" t="str">
        <f>IF(C66="","",SUM($C$24:C66))</f>
        <v/>
      </c>
      <c r="E66" s="209" t="str">
        <f>IF(ISERROR(mon*$C$20*C66),"",mon*$C$20*C66/L66+IF(BaseDatos!$C$12="",0,IF(A66=BaseDatos!$C$12,mon,0)))</f>
        <v/>
      </c>
      <c r="F66" s="210" t="str">
        <f>IF(OR(E66="",H66&lt;&gt;1,vd=""),"",IF(A66=$A$20+1,IF(A66=BaseDatos!$C$12,mon+(E66-mon)*BaseDatos!$C$15,E66*BaseDatos!$C$15),E66))</f>
        <v/>
      </c>
      <c r="G66" s="209" t="str">
        <f>IF(F66="","",(IF(OR($A$21=0,E66=""),"",E66/(1+BaseDatos!$C$14)^M66))-(E66-F66))</f>
        <v/>
      </c>
      <c r="H66" s="192" t="str">
        <f t="shared" si="0"/>
        <v/>
      </c>
      <c r="I66" s="224"/>
      <c r="L66" s="9" t="str">
        <f t="shared" si="3"/>
        <v/>
      </c>
      <c r="M66" s="258" t="str">
        <f>IF(F66="","",(A66+BaseDatos!$C$15-1-$A$20))</f>
        <v/>
      </c>
      <c r="N66" s="198" t="s">
        <v>157</v>
      </c>
    </row>
    <row r="67" spans="1:14" x14ac:dyDescent="0.2">
      <c r="A67" s="198" t="str">
        <f>IF(OR(BaseDatos!$C$12=0,A66=""),"",IF(A66=BaseDatos!$C$12,"",A66+1))</f>
        <v/>
      </c>
      <c r="B67" s="185" t="str">
        <f t="shared" si="5"/>
        <v/>
      </c>
      <c r="C67" s="208" t="str">
        <f t="shared" si="4"/>
        <v/>
      </c>
      <c r="D67" s="208" t="str">
        <f>IF(C67="","",SUM($C$24:C67))</f>
        <v/>
      </c>
      <c r="E67" s="209" t="str">
        <f>IF(ISERROR(mon*$C$20*C67),"",mon*$C$20*C67/L67+IF(BaseDatos!$C$12="",0,IF(A67=BaseDatos!$C$12,mon,0)))</f>
        <v/>
      </c>
      <c r="F67" s="210" t="str">
        <f>IF(OR(E67="",H67&lt;&gt;1,vd=""),"",IF(A67=$A$20+1,IF(A67=BaseDatos!$C$12,mon+(E67-mon)*BaseDatos!$C$15,E67*BaseDatos!$C$15),E67))</f>
        <v/>
      </c>
      <c r="G67" s="209" t="str">
        <f>IF(F67="","",(IF(OR($A$21=0,E67=""),"",E67/(1+BaseDatos!$C$14)^M67))-(E67-F67))</f>
        <v/>
      </c>
      <c r="H67" s="192" t="str">
        <f t="shared" si="0"/>
        <v/>
      </c>
      <c r="I67" s="224"/>
      <c r="L67" s="9" t="str">
        <f t="shared" si="3"/>
        <v/>
      </c>
      <c r="M67" s="258" t="str">
        <f>IF(F67="","",(A67+BaseDatos!$C$15-1-$A$20))</f>
        <v/>
      </c>
      <c r="N67" s="198" t="s">
        <v>157</v>
      </c>
    </row>
    <row r="68" spans="1:14" x14ac:dyDescent="0.2">
      <c r="A68" s="198" t="str">
        <f>IF(OR(BaseDatos!$C$12=0,A67=""),"",IF(A67=BaseDatos!$C$12,"",A67+1))</f>
        <v/>
      </c>
      <c r="B68" s="185" t="str">
        <f t="shared" si="5"/>
        <v/>
      </c>
      <c r="C68" s="208" t="str">
        <f t="shared" si="4"/>
        <v/>
      </c>
      <c r="D68" s="208" t="str">
        <f>IF(C68="","",SUM($C$24:C68))</f>
        <v/>
      </c>
      <c r="E68" s="209" t="str">
        <f>IF(ISERROR(mon*$C$20*C68),"",mon*$C$20*C68/L68+IF(BaseDatos!$C$12="",0,IF(A68=BaseDatos!$C$12,mon,0)))</f>
        <v/>
      </c>
      <c r="F68" s="210" t="str">
        <f>IF(OR(E68="",H68&lt;&gt;1,vd=""),"",IF(A68=$A$20+1,IF(A68=BaseDatos!$C$12,mon+(E68-mon)*BaseDatos!$C$15,E68*BaseDatos!$C$15),E68))</f>
        <v/>
      </c>
      <c r="G68" s="209" t="str">
        <f>IF(F68="","",(IF(OR($A$21=0,E68=""),"",E68/(1+BaseDatos!$C$14)^M68))-(E68-F68))</f>
        <v/>
      </c>
      <c r="H68" s="192" t="str">
        <f t="shared" ref="H68:H74" si="6">IF(A68="","",IF(B68&lt;=$E$18,"Saldo anterior pagado",1))</f>
        <v/>
      </c>
      <c r="I68" s="224"/>
      <c r="L68" s="9" t="str">
        <f t="shared" si="3"/>
        <v/>
      </c>
      <c r="M68" s="258" t="str">
        <f>IF(F68="","",(A68+BaseDatos!$C$15-1-$A$20))</f>
        <v/>
      </c>
      <c r="N68" s="198" t="s">
        <v>157</v>
      </c>
    </row>
    <row r="69" spans="1:14" x14ac:dyDescent="0.2">
      <c r="A69" s="198" t="str">
        <f>IF(OR(BaseDatos!$C$12=0,A68=""),"",IF(A68=BaseDatos!$C$12,"",A68+1))</f>
        <v/>
      </c>
      <c r="B69" s="185" t="str">
        <f t="shared" si="5"/>
        <v/>
      </c>
      <c r="C69" s="208" t="str">
        <f t="shared" si="4"/>
        <v/>
      </c>
      <c r="D69" s="208" t="str">
        <f>IF(C69="","",SUM($C$24:C69))</f>
        <v/>
      </c>
      <c r="E69" s="209" t="str">
        <f>IF(ISERROR(mon*$C$20*C69),"",mon*$C$20*C69/L69+IF(BaseDatos!$C$12="",0,IF(A69=BaseDatos!$C$12,mon,0)))</f>
        <v/>
      </c>
      <c r="F69" s="210" t="str">
        <f>IF(OR(E69="",H69&lt;&gt;1,vd=""),"",IF(A69=$A$20+1,IF(A69=BaseDatos!$C$12,mon+(E69-mon)*BaseDatos!$C$15,E69*BaseDatos!$C$15),E69))</f>
        <v/>
      </c>
      <c r="G69" s="209" t="str">
        <f>IF(F69="","",(IF(OR($A$21=0,E69=""),"",E69/(1+BaseDatos!$C$14)^M69))-(E69-F69))</f>
        <v/>
      </c>
      <c r="H69" s="6" t="str">
        <f t="shared" si="6"/>
        <v/>
      </c>
      <c r="I69" s="224"/>
      <c r="L69" s="9" t="str">
        <f t="shared" si="3"/>
        <v/>
      </c>
      <c r="M69" s="258" t="str">
        <f>IF(F69="","",(A69+BaseDatos!$C$15-1-$A$20))</f>
        <v/>
      </c>
      <c r="N69" s="198" t="s">
        <v>157</v>
      </c>
    </row>
    <row r="70" spans="1:14" x14ac:dyDescent="0.2">
      <c r="A70" s="198" t="str">
        <f>IF(OR(BaseDatos!$C$12=0,A69=""),"",IF(A69=BaseDatos!$C$12,"",A69+1))</f>
        <v/>
      </c>
      <c r="B70" s="185" t="str">
        <f t="shared" si="5"/>
        <v/>
      </c>
      <c r="C70" s="208" t="str">
        <f t="shared" si="4"/>
        <v/>
      </c>
      <c r="D70" s="208" t="str">
        <f>IF(C70="","",SUM($C$24:C70))</f>
        <v/>
      </c>
      <c r="E70" s="209" t="str">
        <f>IF(ISERROR(mon*$C$20*C70),"",mon*$C$20*C70/L70+IF(BaseDatos!$C$12="",0,IF(A70=BaseDatos!$C$12,mon,0)))</f>
        <v/>
      </c>
      <c r="F70" s="210" t="str">
        <f>IF(OR(E70="",H70&lt;&gt;1,vd=""),"",IF(A70=$A$20+1,IF(A70=BaseDatos!$C$12,mon+(E70-mon)*BaseDatos!$C$15,E70*BaseDatos!$C$15),E70))</f>
        <v/>
      </c>
      <c r="G70" s="209" t="str">
        <f>IF(F70="","",(IF(OR($A$21=0,E70=""),"",E70/(1+BaseDatos!$C$14)^M70))-(E70-F70))</f>
        <v/>
      </c>
      <c r="H70" s="6" t="str">
        <f t="shared" si="6"/>
        <v/>
      </c>
      <c r="I70" s="224"/>
      <c r="L70" s="9" t="str">
        <f t="shared" si="3"/>
        <v/>
      </c>
      <c r="M70" s="258" t="str">
        <f>IF(F70="","",(A70+BaseDatos!$C$15-1-$A$20))</f>
        <v/>
      </c>
      <c r="N70" s="198" t="s">
        <v>157</v>
      </c>
    </row>
    <row r="71" spans="1:14" x14ac:dyDescent="0.2">
      <c r="A71" s="198" t="str">
        <f>IF(OR(BaseDatos!$C$12=0,A70=""),"",IF(A70=BaseDatos!$C$12,"",A70+1))</f>
        <v/>
      </c>
      <c r="B71" s="185" t="str">
        <f t="shared" si="5"/>
        <v/>
      </c>
      <c r="C71" s="208" t="str">
        <f t="shared" si="4"/>
        <v/>
      </c>
      <c r="D71" s="208" t="str">
        <f>IF(C71="","",SUM($C$24:C71))</f>
        <v/>
      </c>
      <c r="E71" s="209" t="str">
        <f>IF(ISERROR(mon*$C$20*C71),"",mon*$C$20*C71/L71+IF(BaseDatos!$C$12="",0,IF(A71=BaseDatos!$C$12,mon,0)))</f>
        <v/>
      </c>
      <c r="F71" s="210" t="str">
        <f>IF(OR(E71="",H71&lt;&gt;1,vd=""),"",IF(A71=$A$20+1,IF(A71=BaseDatos!$C$12,mon+(E71-mon)*BaseDatos!$C$15,E71*BaseDatos!$C$15),E71))</f>
        <v/>
      </c>
      <c r="G71" s="209" t="str">
        <f>IF(F71="","",(IF(OR($A$21=0,E71=""),"",E71/(1+BaseDatos!$C$14)^M71))-(E71-F71))</f>
        <v/>
      </c>
      <c r="H71" s="6" t="str">
        <f t="shared" si="6"/>
        <v/>
      </c>
      <c r="I71" s="224"/>
      <c r="L71" s="9" t="str">
        <f t="shared" si="3"/>
        <v/>
      </c>
      <c r="M71" s="258" t="str">
        <f>IF(F71="","",(A71+BaseDatos!$C$15-1-$A$20))</f>
        <v/>
      </c>
      <c r="N71" s="198" t="s">
        <v>157</v>
      </c>
    </row>
    <row r="72" spans="1:14" x14ac:dyDescent="0.2">
      <c r="A72" s="198" t="str">
        <f>IF(OR(BaseDatos!$C$12=0,A71=""),"",IF(A71=BaseDatos!$C$12,"",A71+1))</f>
        <v/>
      </c>
      <c r="B72" s="185" t="str">
        <f t="shared" si="5"/>
        <v/>
      </c>
      <c r="C72" s="208" t="str">
        <f t="shared" si="4"/>
        <v/>
      </c>
      <c r="D72" s="208" t="str">
        <f>IF(C72="","",SUM($C$24:C72))</f>
        <v/>
      </c>
      <c r="E72" s="209" t="str">
        <f>IF(ISERROR(mon*$C$20*C72),"",mon*$C$20*C72/L72+IF(BaseDatos!$C$12="",0,IF(A72=BaseDatos!$C$12,mon,0)))</f>
        <v/>
      </c>
      <c r="F72" s="210" t="str">
        <f>IF(OR(E72="",H72&lt;&gt;1,vd=""),"",IF(A72=$A$20+1,IF(A72=BaseDatos!$C$12,mon+(E72-mon)*BaseDatos!$C$15,E72*BaseDatos!$C$15),E72))</f>
        <v/>
      </c>
      <c r="G72" s="209" t="str">
        <f>IF(F72="","",(IF(OR($A$21=0,E72=""),"",E72/(1+BaseDatos!$C$14)^M72))-(E72-F72))</f>
        <v/>
      </c>
      <c r="H72" s="6" t="str">
        <f t="shared" si="6"/>
        <v/>
      </c>
      <c r="I72" s="224"/>
      <c r="L72" s="9" t="str">
        <f t="shared" si="3"/>
        <v/>
      </c>
      <c r="M72" s="258" t="str">
        <f>IF(F72="","",(A72+BaseDatos!$C$15-1-$A$20))</f>
        <v/>
      </c>
      <c r="N72" s="198" t="s">
        <v>157</v>
      </c>
    </row>
    <row r="73" spans="1:14" x14ac:dyDescent="0.2">
      <c r="A73" s="198" t="str">
        <f>IF(OR(BaseDatos!$C$12=0,A72=""),"",IF(A72=BaseDatos!$C$12,"",A72+1))</f>
        <v/>
      </c>
      <c r="B73" s="185" t="str">
        <f t="shared" si="5"/>
        <v/>
      </c>
      <c r="C73" s="208" t="str">
        <f t="shared" si="4"/>
        <v/>
      </c>
      <c r="D73" s="208" t="str">
        <f>IF(C73="","",SUM($C$24:C73))</f>
        <v/>
      </c>
      <c r="E73" s="209" t="str">
        <f>IF(ISERROR(mon*$C$20*C73),"",mon*$C$20*C73/L73+IF(BaseDatos!$C$12="",0,IF(A73=BaseDatos!$C$12,mon,0)))</f>
        <v/>
      </c>
      <c r="F73" s="210" t="str">
        <f>IF(OR(E73="",H73&lt;&gt;1,vd=""),"",IF(A73=$A$20+1,IF(A73=BaseDatos!$C$12,mon+(E73-mon)*BaseDatos!$C$15,E73*BaseDatos!$C$15),E73))</f>
        <v/>
      </c>
      <c r="G73" s="209" t="str">
        <f>IF(F73="","",(IF(OR($A$21=0,E73=""),"",E73/(1+BaseDatos!$C$14)^M73))-(E73-F73))</f>
        <v/>
      </c>
      <c r="H73" s="6" t="str">
        <f t="shared" si="6"/>
        <v/>
      </c>
      <c r="I73" s="224"/>
      <c r="L73" s="186" t="str">
        <f t="shared" si="3"/>
        <v/>
      </c>
      <c r="M73" s="183" t="str">
        <f>IF(F73="","",(A73+BaseDatos!$C$15-1-$A$20))</f>
        <v/>
      </c>
      <c r="N73" s="198" t="s">
        <v>157</v>
      </c>
    </row>
    <row r="74" spans="1:14" x14ac:dyDescent="0.2">
      <c r="A74" s="198" t="str">
        <f>IF(OR(BaseDatos!$C$12=0,A73=""),"",IF(A73=BaseDatos!$C$12,"",A73+1))</f>
        <v/>
      </c>
      <c r="B74" s="185" t="str">
        <f t="shared" si="5"/>
        <v/>
      </c>
      <c r="C74" s="208" t="str">
        <f t="shared" si="4"/>
        <v/>
      </c>
      <c r="D74" s="208" t="str">
        <f>IF(C74="","",SUM($C$24:C74))</f>
        <v/>
      </c>
      <c r="E74" s="209" t="str">
        <f>IF(ISERROR(mon*$C$20*C74),"",mon*$C$20*C74/L74+IF(BaseDatos!$C$12="",0,IF(A74=BaseDatos!$C$12,mon,0)))</f>
        <v/>
      </c>
      <c r="F74" s="210" t="str">
        <f>IF(OR(E74="",H74&lt;&gt;1,vd=""),"",IF(A74=$A$20+1,IF(A74=BaseDatos!$C$12,mon+(E74-mon)*BaseDatos!$C$15,E74*BaseDatos!$C$15),E74))</f>
        <v/>
      </c>
      <c r="G74" s="209" t="str">
        <f>IF(F74="","",(IF(OR($A$21=0,E74=""),"",E74/(1+BaseDatos!$C$14)^M74))-(E74-F74))</f>
        <v/>
      </c>
      <c r="H74" s="6" t="str">
        <f t="shared" si="6"/>
        <v/>
      </c>
      <c r="I74" s="224"/>
      <c r="L74" s="186" t="str">
        <f t="shared" si="3"/>
        <v/>
      </c>
      <c r="M74" s="183" t="str">
        <f>IF(F74="","",(A74+BaseDatos!$C$15-1-$A$20))</f>
        <v/>
      </c>
      <c r="N74" s="198" t="s">
        <v>157</v>
      </c>
    </row>
    <row r="75" spans="1:14" x14ac:dyDescent="0.2">
      <c r="I75" s="224"/>
    </row>
    <row r="76" spans="1:14" x14ac:dyDescent="0.2">
      <c r="I76" s="224"/>
    </row>
    <row r="77" spans="1:14" x14ac:dyDescent="0.2">
      <c r="I77" s="224"/>
    </row>
    <row r="78" spans="1:14" x14ac:dyDescent="0.2">
      <c r="I78" s="224"/>
    </row>
    <row r="79" spans="1:14" x14ac:dyDescent="0.2">
      <c r="I79" s="224"/>
    </row>
  </sheetData>
  <sheetProtection algorithmName="SHA-512" hashValue="m3zGxVfUMS7hnrHlzPPAR+UvVfH5kB6OSBKF7Fa4hxv41tlgmTwy4W8X120+SSd9RAMtrfiCg3AKUjsKzDKfVQ==" saltValue="yH9Jsw32LrGEypZiwQDytg==" spinCount="100000" sheet="1" formatColumns="0" insertColumns="0" insertRows="0" insertHyperlinks="0" deleteColumns="0" deleteRows="0" autoFilter="0" pivotTables="0"/>
  <protectedRanges>
    <protectedRange sqref="H6:H7 I6:J6" name="inverse"/>
    <protectedRange sqref="C15:C16" name="Input"/>
    <protectedRange sqref="E18:E20" name="Input_1"/>
  </protectedRanges>
  <dataConsolidate/>
  <mergeCells count="5">
    <mergeCell ref="A7:J7"/>
    <mergeCell ref="A6:J6"/>
    <mergeCell ref="A5:J5"/>
    <mergeCell ref="I19:I20"/>
    <mergeCell ref="A9:J9"/>
  </mergeCells>
  <conditionalFormatting sqref="C15:C16 E18:E20">
    <cfRule type="cellIs" dxfId="10" priority="5" stopIfTrue="1" operator="equal">
      <formula>""</formula>
    </cfRule>
  </conditionalFormatting>
  <conditionalFormatting sqref="B11:B13 A25:G74">
    <cfRule type="cellIs" dxfId="9" priority="9" stopIfTrue="1" operator="notEqual">
      <formula>""</formula>
    </cfRule>
  </conditionalFormatting>
  <conditionalFormatting sqref="H18">
    <cfRule type="cellIs" dxfId="8" priority="6" stopIfTrue="1" operator="notEqual">
      <formula>""</formula>
    </cfRule>
  </conditionalFormatting>
  <conditionalFormatting sqref="F25:G74">
    <cfRule type="expression" dxfId="7" priority="8" stopIfTrue="1">
      <formula>$H25&lt;&gt;1</formula>
    </cfRule>
  </conditionalFormatting>
  <conditionalFormatting sqref="H25:H74 I24:I79">
    <cfRule type="cellIs" dxfId="6" priority="7" stopIfTrue="1" operator="equal">
      <formula>1</formula>
    </cfRule>
  </conditionalFormatting>
  <conditionalFormatting sqref="B11:B13 B25:B74">
    <cfRule type="expression" dxfId="5" priority="4" stopIfTrue="1">
      <formula>LEN(B11)&gt;10</formula>
    </cfRule>
  </conditionalFormatting>
  <conditionalFormatting sqref="E15:E16">
    <cfRule type="expression" dxfId="4" priority="3" stopIfTrue="1">
      <formula>$C$16&lt;&gt;""</formula>
    </cfRule>
  </conditionalFormatting>
  <conditionalFormatting sqref="C16">
    <cfRule type="expression" dxfId="3" priority="10" stopIfTrue="1">
      <formula>$A$18=1</formula>
    </cfRule>
  </conditionalFormatting>
  <conditionalFormatting sqref="E16">
    <cfRule type="expression" dxfId="2" priority="11" stopIfTrue="1">
      <formula>$A$18&lt;&gt;1</formula>
    </cfRule>
  </conditionalFormatting>
  <conditionalFormatting sqref="C18">
    <cfRule type="cellIs" dxfId="1" priority="2" stopIfTrue="1" operator="equal">
      <formula>""</formula>
    </cfRule>
  </conditionalFormatting>
  <conditionalFormatting sqref="C19">
    <cfRule type="cellIs" dxfId="0" priority="1" stopIfTrue="1" operator="equal">
      <formula>""</formula>
    </cfRule>
  </conditionalFormatting>
  <dataValidations count="5">
    <dataValidation type="custom" operator="greaterThan" showInputMessage="1" showErrorMessage="1" errorTitle="Inconsistencia Fechas" error="Por favor verifique que el momento de emisión sea adecuado a los instrumentos vigentes y coloque un momento de valoración entre la emisión y el vencimiento del título-valor." sqref="E18" xr:uid="{00000000-0002-0000-0000-000000000000}">
      <formula1>AND(C18&gt;0,E18&gt;=C19,E18&lt;C18)</formula1>
    </dataValidation>
    <dataValidation type="custom" showInputMessage="1" showErrorMessage="1" errorTitle="Introducir tasa adecuada" error="Favor especificar un valor decimal que cumpla con las restricciones legales establecidas por el emisor del título-valor; completar los parámetros de monto facial y las fechas antes de colocar el tipo de interés deseado." sqref="E20" xr:uid="{00000000-0002-0000-0000-000001000000}">
      <formula1>IF(OR(A18="",E18=0),E20="",E20)</formula1>
    </dataValidation>
    <dataValidation showInputMessage="1" showErrorMessage="1" errorTitle="Denominaciones 100k" error="Verifique que ha seleccionado un bono en específico y que el monto introducido sea múltiplo de RD$100,000.00, que es la denominación establecida para negociar los títulos-valores." sqref="E19" xr:uid="{00000000-0002-0000-0000-000002000000}"/>
    <dataValidation operator="greaterThan" showInputMessage="1" showErrorMessage="1" sqref="C19" xr:uid="{00000000-0002-0000-0000-000003000000}"/>
    <dataValidation type="list" errorStyle="warning" showInputMessage="1" showErrorMessage="1" error="Elija un parámetro de búsqueda para poder seleccionar un título-valor específico." sqref="C15" xr:uid="{00000000-0002-0000-0000-000004000000}">
      <formula1>"Instrumento, ISIN, CUSIP"</formula1>
    </dataValidation>
  </dataValidations>
  <pageMargins left="0.7" right="0.7" top="0.75" bottom="0.75" header="0.3" footer="0.3"/>
  <pageSetup orientation="portrait" horizontalDpi="300" verticalDpi="300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xr:uid="{00000000-0002-0000-0000-000005000000}">
          <x14:formula1>
            <xm:f>BaseDatos!G6:G47</xm:f>
          </x14:formula1>
          <xm:sqref>C16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J64"/>
  <sheetViews>
    <sheetView topLeftCell="A22" workbookViewId="0">
      <selection activeCell="G45" sqref="G45"/>
    </sheetView>
  </sheetViews>
  <sheetFormatPr defaultColWidth="11.42578125" defaultRowHeight="12.75" x14ac:dyDescent="0.2"/>
  <cols>
    <col min="1" max="1" width="7.28515625" style="99" customWidth="1"/>
    <col min="2" max="2" width="18.42578125" style="99" customWidth="1"/>
    <col min="3" max="3" width="18" style="99" customWidth="1"/>
    <col min="4" max="4" width="18.7109375" style="99" bestFit="1" customWidth="1"/>
    <col min="5" max="6" width="15.42578125" style="99" bestFit="1" customWidth="1"/>
    <col min="7" max="7" width="16.5703125" style="99" bestFit="1" customWidth="1"/>
    <col min="8" max="16384" width="11.42578125" style="99"/>
  </cols>
  <sheetData>
    <row r="1" spans="1:7" ht="13.5" thickBot="1" x14ac:dyDescent="0.25">
      <c r="A1" s="98"/>
      <c r="B1" s="98"/>
      <c r="C1" s="98"/>
      <c r="D1" s="98"/>
      <c r="E1" s="98"/>
      <c r="F1" s="98"/>
      <c r="G1" s="98"/>
    </row>
    <row r="2" spans="1:7" ht="13.5" thickBot="1" x14ac:dyDescent="0.25">
      <c r="A2" s="100"/>
      <c r="B2" s="101"/>
      <c r="C2" s="101"/>
      <c r="D2" s="101"/>
      <c r="E2" s="101"/>
      <c r="F2" s="102"/>
      <c r="G2" s="98"/>
    </row>
    <row r="3" spans="1:7" ht="16.5" thickBot="1" x14ac:dyDescent="0.3">
      <c r="A3" s="270" t="s">
        <v>2</v>
      </c>
      <c r="B3" s="271"/>
      <c r="C3" s="271"/>
      <c r="D3" s="271"/>
      <c r="E3" s="271"/>
      <c r="F3" s="272"/>
      <c r="G3" s="98"/>
    </row>
    <row r="4" spans="1:7" ht="13.5" thickBot="1" x14ac:dyDescent="0.25">
      <c r="A4" s="103"/>
      <c r="B4" s="104"/>
      <c r="C4" s="104"/>
      <c r="D4" s="104"/>
      <c r="E4" s="104"/>
      <c r="F4" s="105"/>
      <c r="G4" s="98"/>
    </row>
    <row r="5" spans="1:7" ht="15.75" thickBot="1" x14ac:dyDescent="0.3">
      <c r="A5" s="106" t="s">
        <v>80</v>
      </c>
      <c r="B5" s="107"/>
      <c r="C5" s="107"/>
      <c r="D5" s="108" t="s">
        <v>81</v>
      </c>
      <c r="E5" s="104"/>
      <c r="F5" s="105"/>
      <c r="G5" s="98"/>
    </row>
    <row r="6" spans="1:7" ht="8.25" customHeight="1" thickBot="1" x14ac:dyDescent="0.3">
      <c r="A6" s="109"/>
      <c r="B6" s="104"/>
      <c r="C6" s="110"/>
      <c r="D6" s="104"/>
      <c r="E6" s="104"/>
      <c r="F6" s="105"/>
      <c r="G6" s="98"/>
    </row>
    <row r="7" spans="1:7" ht="16.5" thickBot="1" x14ac:dyDescent="0.3">
      <c r="A7" s="103"/>
      <c r="B7" s="111" t="s">
        <v>3</v>
      </c>
      <c r="C7" s="104"/>
      <c r="D7" s="112"/>
      <c r="E7" s="104"/>
      <c r="F7" s="105"/>
      <c r="G7" s="98"/>
    </row>
    <row r="8" spans="1:7" ht="16.5" thickBot="1" x14ac:dyDescent="0.3">
      <c r="A8" s="103"/>
      <c r="B8" s="113" t="s">
        <v>4</v>
      </c>
      <c r="C8" s="114"/>
      <c r="D8" s="115">
        <f>+IF(D7=0,0,D53)</f>
        <v>0</v>
      </c>
      <c r="E8" s="104"/>
      <c r="F8" s="105"/>
      <c r="G8" s="98"/>
    </row>
    <row r="9" spans="1:7" ht="16.5" thickBot="1" x14ac:dyDescent="0.3">
      <c r="A9" s="103"/>
      <c r="B9" s="113" t="s">
        <v>5</v>
      </c>
      <c r="C9" s="114"/>
      <c r="D9" s="115">
        <f>+IF(D7=0,0,D62)</f>
        <v>0</v>
      </c>
      <c r="E9" s="104"/>
      <c r="F9" s="105"/>
      <c r="G9" s="98"/>
    </row>
    <row r="10" spans="1:7" ht="16.5" thickBot="1" x14ac:dyDescent="0.3">
      <c r="A10" s="103"/>
      <c r="B10" s="116"/>
      <c r="C10" s="114"/>
      <c r="D10" s="117"/>
      <c r="E10" s="104"/>
      <c r="F10" s="105"/>
      <c r="G10" s="98"/>
    </row>
    <row r="11" spans="1:7" ht="15.75" thickBot="1" x14ac:dyDescent="0.3">
      <c r="A11" s="103"/>
      <c r="B11" s="118" t="s">
        <v>6</v>
      </c>
      <c r="C11" s="119"/>
      <c r="D11" s="120"/>
      <c r="E11" s="104"/>
      <c r="F11" s="105"/>
      <c r="G11" s="98"/>
    </row>
    <row r="12" spans="1:7" ht="15.75" thickBot="1" x14ac:dyDescent="0.3">
      <c r="A12" s="103"/>
      <c r="B12" s="113" t="s">
        <v>7</v>
      </c>
      <c r="C12" s="119"/>
      <c r="D12" s="121">
        <f>+IF(D11=0,0,D59)</f>
        <v>0</v>
      </c>
      <c r="E12" s="104"/>
      <c r="F12" s="105"/>
      <c r="G12" s="98"/>
    </row>
    <row r="13" spans="1:7" ht="15.75" thickBot="1" x14ac:dyDescent="0.3">
      <c r="A13" s="103"/>
      <c r="B13" s="113" t="s">
        <v>8</v>
      </c>
      <c r="C13" s="119"/>
      <c r="D13" s="121">
        <f>+D21-D28</f>
        <v>1813</v>
      </c>
      <c r="E13" s="104"/>
      <c r="F13" s="105"/>
      <c r="G13" s="98"/>
    </row>
    <row r="14" spans="1:7" ht="14.25" customHeight="1" thickBot="1" x14ac:dyDescent="0.25">
      <c r="A14" s="122"/>
      <c r="B14" s="123"/>
      <c r="C14" s="123"/>
      <c r="D14" s="123"/>
      <c r="E14" s="123"/>
      <c r="F14" s="124"/>
      <c r="G14" s="98"/>
    </row>
    <row r="15" spans="1:7" ht="5.25" customHeight="1" thickBot="1" x14ac:dyDescent="0.25">
      <c r="A15" s="98"/>
      <c r="B15" s="98"/>
      <c r="C15" s="98"/>
      <c r="D15" s="98"/>
      <c r="E15" s="98"/>
      <c r="F15" s="98"/>
      <c r="G15" s="98"/>
    </row>
    <row r="16" spans="1:7" ht="13.5" thickBot="1" x14ac:dyDescent="0.25">
      <c r="A16" s="100"/>
      <c r="B16" s="101"/>
      <c r="C16" s="101"/>
      <c r="D16" s="101"/>
      <c r="E16" s="101"/>
      <c r="F16" s="101"/>
      <c r="G16" s="102"/>
    </row>
    <row r="17" spans="1:10" ht="13.5" thickBot="1" x14ac:dyDescent="0.25">
      <c r="A17" s="125" t="str">
        <f>+A5</f>
        <v>Emisión Notas 5 años:</v>
      </c>
      <c r="B17" s="107"/>
      <c r="C17" s="108" t="str">
        <f>+D5</f>
        <v>DOBCNO082013</v>
      </c>
      <c r="D17" s="126"/>
      <c r="E17" s="104"/>
      <c r="F17" s="104"/>
      <c r="G17" s="105"/>
    </row>
    <row r="18" spans="1:10" ht="13.5" thickBot="1" x14ac:dyDescent="0.25">
      <c r="A18" s="103"/>
      <c r="B18" s="104"/>
      <c r="C18" s="104"/>
      <c r="D18" s="104"/>
      <c r="E18" s="104"/>
      <c r="F18" s="104"/>
      <c r="G18" s="105"/>
    </row>
    <row r="19" spans="1:10" ht="13.5" thickBot="1" x14ac:dyDescent="0.25">
      <c r="A19" s="103"/>
      <c r="B19" s="273" t="s">
        <v>9</v>
      </c>
      <c r="C19" s="274"/>
      <c r="D19" s="104"/>
      <c r="E19" s="104"/>
      <c r="F19" s="104"/>
      <c r="G19" s="105"/>
    </row>
    <row r="20" spans="1:10" x14ac:dyDescent="0.2">
      <c r="A20" s="103"/>
      <c r="B20" s="129" t="s">
        <v>10</v>
      </c>
      <c r="C20" s="101"/>
      <c r="D20" s="130">
        <v>39662</v>
      </c>
      <c r="E20" s="104"/>
      <c r="F20" s="104"/>
      <c r="G20" s="105"/>
    </row>
    <row r="21" spans="1:10" x14ac:dyDescent="0.2">
      <c r="A21" s="103"/>
      <c r="B21" s="131" t="s">
        <v>11</v>
      </c>
      <c r="C21" s="104"/>
      <c r="D21" s="132">
        <v>41488</v>
      </c>
      <c r="E21" s="104"/>
      <c r="F21" s="104"/>
      <c r="G21" s="105"/>
    </row>
    <row r="22" spans="1:10" x14ac:dyDescent="0.2">
      <c r="A22" s="103"/>
      <c r="B22" s="131" t="s">
        <v>12</v>
      </c>
      <c r="C22" s="104"/>
      <c r="D22" s="133">
        <v>0.18</v>
      </c>
      <c r="E22" s="104"/>
      <c r="F22" s="104"/>
      <c r="G22" s="105"/>
    </row>
    <row r="23" spans="1:10" x14ac:dyDescent="0.2">
      <c r="A23" s="103"/>
      <c r="B23" s="131" t="s">
        <v>13</v>
      </c>
      <c r="C23" s="104"/>
      <c r="D23" s="134">
        <v>2</v>
      </c>
      <c r="E23" s="104"/>
      <c r="F23" s="104"/>
      <c r="G23" s="105"/>
    </row>
    <row r="24" spans="1:10" ht="13.5" thickBot="1" x14ac:dyDescent="0.25">
      <c r="A24" s="103"/>
      <c r="B24" s="135" t="s">
        <v>14</v>
      </c>
      <c r="C24" s="123"/>
      <c r="D24" s="136">
        <v>100000</v>
      </c>
      <c r="E24" s="104"/>
      <c r="F24" s="104"/>
      <c r="G24" s="105"/>
    </row>
    <row r="25" spans="1:10" ht="13.5" thickBot="1" x14ac:dyDescent="0.25">
      <c r="A25" s="103"/>
      <c r="B25" s="104"/>
      <c r="C25" s="98"/>
      <c r="D25" s="137"/>
      <c r="E25" s="104"/>
      <c r="F25" s="104"/>
      <c r="G25" s="105"/>
      <c r="I25" s="128"/>
      <c r="J25" s="128"/>
    </row>
    <row r="26" spans="1:10" x14ac:dyDescent="0.2">
      <c r="A26" s="103"/>
      <c r="B26" s="129" t="s">
        <v>15</v>
      </c>
      <c r="C26" s="101"/>
      <c r="D26" s="138">
        <f>+D11</f>
        <v>0</v>
      </c>
      <c r="E26" s="104"/>
      <c r="F26" s="104"/>
      <c r="G26" s="105"/>
      <c r="I26" s="128"/>
    </row>
    <row r="27" spans="1:10" x14ac:dyDescent="0.2">
      <c r="A27" s="103"/>
      <c r="B27" s="131" t="s">
        <v>1</v>
      </c>
      <c r="C27" s="98"/>
      <c r="D27" s="139">
        <f>+D7</f>
        <v>0</v>
      </c>
      <c r="E27" s="104"/>
      <c r="F27" s="104"/>
      <c r="G27" s="105"/>
      <c r="I27" s="127"/>
      <c r="J27" s="127"/>
    </row>
    <row r="28" spans="1:10" ht="13.5" thickBot="1" x14ac:dyDescent="0.25">
      <c r="A28" s="103"/>
      <c r="B28" s="135" t="s">
        <v>16</v>
      </c>
      <c r="C28" s="123"/>
      <c r="D28" s="140">
        <v>39675</v>
      </c>
      <c r="E28" s="104"/>
      <c r="F28" s="104"/>
      <c r="G28" s="105"/>
    </row>
    <row r="29" spans="1:10" x14ac:dyDescent="0.2">
      <c r="A29" s="103"/>
      <c r="B29" s="104"/>
      <c r="C29" s="104"/>
      <c r="D29" s="104"/>
      <c r="E29" s="104"/>
      <c r="F29" s="104"/>
      <c r="G29" s="105"/>
    </row>
    <row r="30" spans="1:10" ht="13.5" thickBot="1" x14ac:dyDescent="0.25">
      <c r="A30" s="103"/>
      <c r="B30" s="141" t="s">
        <v>17</v>
      </c>
      <c r="C30" s="104"/>
      <c r="D30" s="104"/>
      <c r="E30" s="104"/>
      <c r="F30" s="104"/>
      <c r="G30" s="105"/>
    </row>
    <row r="31" spans="1:10" x14ac:dyDescent="0.2">
      <c r="A31" s="103"/>
      <c r="B31" s="129" t="s">
        <v>18</v>
      </c>
      <c r="C31" s="101"/>
      <c r="D31" s="142">
        <f>+D28-D20</f>
        <v>13</v>
      </c>
      <c r="E31" s="104"/>
      <c r="F31" s="104"/>
      <c r="G31" s="105"/>
    </row>
    <row r="32" spans="1:10" x14ac:dyDescent="0.2">
      <c r="A32" s="103"/>
      <c r="B32" s="131" t="s">
        <v>0</v>
      </c>
      <c r="C32" s="104"/>
      <c r="D32" s="143">
        <f>+D13</f>
        <v>1813</v>
      </c>
      <c r="E32" s="104"/>
      <c r="F32" s="104"/>
      <c r="G32" s="105"/>
    </row>
    <row r="33" spans="1:7" x14ac:dyDescent="0.2">
      <c r="A33" s="103"/>
      <c r="B33" s="131" t="s">
        <v>19</v>
      </c>
      <c r="C33" s="104"/>
      <c r="D33" s="144">
        <f>+D27/D23</f>
        <v>0</v>
      </c>
      <c r="E33" s="104"/>
      <c r="F33" s="104"/>
      <c r="G33" s="105"/>
    </row>
    <row r="34" spans="1:7" ht="13.5" thickBot="1" x14ac:dyDescent="0.25">
      <c r="A34" s="103"/>
      <c r="B34" s="135" t="s">
        <v>20</v>
      </c>
      <c r="C34" s="123"/>
      <c r="D34" s="145">
        <f>+(C39-D31)/C39</f>
        <v>0.92934782608695654</v>
      </c>
      <c r="E34" s="104"/>
      <c r="F34" s="104"/>
      <c r="G34" s="105"/>
    </row>
    <row r="35" spans="1:7" ht="13.5" thickBot="1" x14ac:dyDescent="0.25">
      <c r="A35" s="103"/>
      <c r="B35" s="104"/>
      <c r="C35" s="104"/>
      <c r="D35" s="146"/>
      <c r="E35" s="104"/>
      <c r="F35" s="147"/>
      <c r="G35" s="105"/>
    </row>
    <row r="36" spans="1:7" ht="13.5" thickBot="1" x14ac:dyDescent="0.25">
      <c r="A36" s="273" t="s">
        <v>21</v>
      </c>
      <c r="B36" s="275"/>
      <c r="C36" s="274"/>
      <c r="D36" s="104"/>
      <c r="E36" s="104"/>
      <c r="F36" s="104"/>
      <c r="G36" s="105"/>
    </row>
    <row r="37" spans="1:7" x14ac:dyDescent="0.2">
      <c r="A37" s="148"/>
      <c r="B37" s="149"/>
      <c r="C37" s="149"/>
      <c r="D37" s="150" t="s">
        <v>22</v>
      </c>
      <c r="E37" s="150" t="s">
        <v>23</v>
      </c>
      <c r="F37" s="150" t="s">
        <v>24</v>
      </c>
      <c r="G37" s="151" t="s">
        <v>25</v>
      </c>
    </row>
    <row r="38" spans="1:7" ht="13.5" thickBot="1" x14ac:dyDescent="0.25">
      <c r="A38" s="152" t="s">
        <v>26</v>
      </c>
      <c r="B38" s="153" t="s">
        <v>27</v>
      </c>
      <c r="C38" s="153" t="s">
        <v>28</v>
      </c>
      <c r="D38" s="153" t="s">
        <v>29</v>
      </c>
      <c r="E38" s="153" t="s">
        <v>26</v>
      </c>
      <c r="F38" s="153" t="s">
        <v>30</v>
      </c>
      <c r="G38" s="154" t="s">
        <v>31</v>
      </c>
    </row>
    <row r="39" spans="1:7" ht="13.5" thickTop="1" x14ac:dyDescent="0.2">
      <c r="A39" s="155">
        <v>1</v>
      </c>
      <c r="B39" s="156">
        <v>39846</v>
      </c>
      <c r="C39" s="157">
        <f>+B39-D20</f>
        <v>184</v>
      </c>
      <c r="D39" s="157">
        <f>+B39-D20</f>
        <v>184</v>
      </c>
      <c r="E39" s="158">
        <f t="shared" ref="E39:E44" si="0">+$D$26*$D$22/365*C39</f>
        <v>0</v>
      </c>
      <c r="F39" s="180">
        <f>+E39*D34</f>
        <v>0</v>
      </c>
      <c r="G39" s="181">
        <f>+F39/(1+$D$33)^D34</f>
        <v>0</v>
      </c>
    </row>
    <row r="40" spans="1:7" x14ac:dyDescent="0.2">
      <c r="A40" s="155">
        <f t="shared" ref="A40:A48" si="1">+A39+1</f>
        <v>2</v>
      </c>
      <c r="B40" s="156">
        <v>40027</v>
      </c>
      <c r="C40" s="157">
        <f>+B40-B39</f>
        <v>181</v>
      </c>
      <c r="D40" s="157">
        <f t="shared" ref="D40:D48" si="2">+D39+C40</f>
        <v>365</v>
      </c>
      <c r="E40" s="158">
        <f t="shared" si="0"/>
        <v>0</v>
      </c>
      <c r="F40" s="159">
        <f t="shared" ref="F40:F48" si="3">+E40</f>
        <v>0</v>
      </c>
      <c r="G40" s="181">
        <f>+F40/(1+$D$33)^(1+$D$34)</f>
        <v>0</v>
      </c>
    </row>
    <row r="41" spans="1:7" x14ac:dyDescent="0.2">
      <c r="A41" s="155">
        <f t="shared" si="1"/>
        <v>3</v>
      </c>
      <c r="B41" s="156">
        <v>40211</v>
      </c>
      <c r="C41" s="157">
        <f t="shared" ref="C41:C46" si="4">+B41-B40</f>
        <v>184</v>
      </c>
      <c r="D41" s="157">
        <f t="shared" si="2"/>
        <v>549</v>
      </c>
      <c r="E41" s="158">
        <f t="shared" si="0"/>
        <v>0</v>
      </c>
      <c r="F41" s="159">
        <f t="shared" si="3"/>
        <v>0</v>
      </c>
      <c r="G41" s="181">
        <f>+F41/(1+$D$33)^(2+$D$34)</f>
        <v>0</v>
      </c>
    </row>
    <row r="42" spans="1:7" x14ac:dyDescent="0.2">
      <c r="A42" s="155">
        <f t="shared" si="1"/>
        <v>4</v>
      </c>
      <c r="B42" s="156">
        <v>40392</v>
      </c>
      <c r="C42" s="157">
        <f>+B42-B41</f>
        <v>181</v>
      </c>
      <c r="D42" s="157">
        <f>+D41+C42</f>
        <v>730</v>
      </c>
      <c r="E42" s="158">
        <f t="shared" si="0"/>
        <v>0</v>
      </c>
      <c r="F42" s="159">
        <f t="shared" si="3"/>
        <v>0</v>
      </c>
      <c r="G42" s="181">
        <f>+F42/(1+$D$33)^(3+$D$34)</f>
        <v>0</v>
      </c>
    </row>
    <row r="43" spans="1:7" x14ac:dyDescent="0.2">
      <c r="A43" s="155">
        <f t="shared" si="1"/>
        <v>5</v>
      </c>
      <c r="B43" s="156">
        <v>40576</v>
      </c>
      <c r="C43" s="157">
        <f t="shared" si="4"/>
        <v>184</v>
      </c>
      <c r="D43" s="157">
        <f t="shared" si="2"/>
        <v>914</v>
      </c>
      <c r="E43" s="158">
        <f t="shared" si="0"/>
        <v>0</v>
      </c>
      <c r="F43" s="159">
        <f t="shared" si="3"/>
        <v>0</v>
      </c>
      <c r="G43" s="181">
        <f>+F43/(1+$D$33)^(4+$D$34)</f>
        <v>0</v>
      </c>
    </row>
    <row r="44" spans="1:7" x14ac:dyDescent="0.2">
      <c r="A44" s="155">
        <f t="shared" si="1"/>
        <v>6</v>
      </c>
      <c r="B44" s="156">
        <v>40757</v>
      </c>
      <c r="C44" s="157">
        <f t="shared" si="4"/>
        <v>181</v>
      </c>
      <c r="D44" s="157">
        <f>+D43+C44</f>
        <v>1095</v>
      </c>
      <c r="E44" s="158">
        <f t="shared" si="0"/>
        <v>0</v>
      </c>
      <c r="F44" s="159">
        <f>+E44</f>
        <v>0</v>
      </c>
      <c r="G44" s="181">
        <f>+F44/(1+$D$33)^(5+$D$34)</f>
        <v>0</v>
      </c>
    </row>
    <row r="45" spans="1:7" x14ac:dyDescent="0.2">
      <c r="A45" s="155">
        <f t="shared" si="1"/>
        <v>7</v>
      </c>
      <c r="B45" s="156">
        <v>40941</v>
      </c>
      <c r="C45" s="157">
        <f>+B45-B44</f>
        <v>184</v>
      </c>
      <c r="D45" s="157">
        <f>+D44+C45</f>
        <v>1279</v>
      </c>
      <c r="E45" s="158">
        <f>+$D$26*$D$22/366*C45</f>
        <v>0</v>
      </c>
      <c r="F45" s="159">
        <f t="shared" si="3"/>
        <v>0</v>
      </c>
      <c r="G45" s="181">
        <f>+F45/(1+$D$33)^(6+$D$34)</f>
        <v>0</v>
      </c>
    </row>
    <row r="46" spans="1:7" x14ac:dyDescent="0.2">
      <c r="A46" s="155">
        <f t="shared" si="1"/>
        <v>8</v>
      </c>
      <c r="B46" s="156">
        <v>41123</v>
      </c>
      <c r="C46" s="157">
        <f t="shared" si="4"/>
        <v>182</v>
      </c>
      <c r="D46" s="157">
        <f>+D45+C46</f>
        <v>1461</v>
      </c>
      <c r="E46" s="158">
        <f>+$D$26*$D$22/366*C46</f>
        <v>0</v>
      </c>
      <c r="F46" s="159">
        <f t="shared" si="3"/>
        <v>0</v>
      </c>
      <c r="G46" s="181">
        <f>+F46/(1+$D$33)^(7+$D$34)</f>
        <v>0</v>
      </c>
    </row>
    <row r="47" spans="1:7" x14ac:dyDescent="0.2">
      <c r="A47" s="155">
        <f t="shared" si="1"/>
        <v>9</v>
      </c>
      <c r="B47" s="156">
        <v>41307</v>
      </c>
      <c r="C47" s="157">
        <f>+B47-B46</f>
        <v>184</v>
      </c>
      <c r="D47" s="157">
        <f>+D46+C47</f>
        <v>1645</v>
      </c>
      <c r="E47" s="158">
        <f>+$D$26*$D$22/365*C47</f>
        <v>0</v>
      </c>
      <c r="F47" s="159">
        <f>+E47</f>
        <v>0</v>
      </c>
      <c r="G47" s="181">
        <f>+F47/(1+$D$33)^(8+$D$34)</f>
        <v>0</v>
      </c>
    </row>
    <row r="48" spans="1:7" x14ac:dyDescent="0.2">
      <c r="A48" s="155">
        <f t="shared" si="1"/>
        <v>10</v>
      </c>
      <c r="B48" s="156">
        <v>41488</v>
      </c>
      <c r="C48" s="157">
        <f>+B48-B47</f>
        <v>181</v>
      </c>
      <c r="D48" s="157">
        <f t="shared" si="2"/>
        <v>1826</v>
      </c>
      <c r="E48" s="158">
        <f>+($D$26*$D$22/365*C48)+D26</f>
        <v>0</v>
      </c>
      <c r="F48" s="159">
        <f t="shared" si="3"/>
        <v>0</v>
      </c>
      <c r="G48" s="181">
        <f>+F48/(1+$D$33)^(9+$D$34)</f>
        <v>0</v>
      </c>
    </row>
    <row r="49" spans="1:7" ht="13.5" thickBot="1" x14ac:dyDescent="0.25">
      <c r="A49" s="155"/>
      <c r="B49" s="156"/>
      <c r="C49" s="160"/>
      <c r="D49" s="161"/>
      <c r="E49" s="159"/>
      <c r="F49" s="159"/>
      <c r="G49" s="162"/>
    </row>
    <row r="50" spans="1:7" ht="13.5" thickBot="1" x14ac:dyDescent="0.25">
      <c r="A50" s="182"/>
      <c r="B50" s="163"/>
      <c r="C50" s="164"/>
      <c r="D50" s="164"/>
      <c r="E50" s="165"/>
      <c r="F50" s="166"/>
      <c r="G50" s="167">
        <f>SUM(G39:G49)</f>
        <v>0</v>
      </c>
    </row>
    <row r="51" spans="1:7" ht="13.5" thickBot="1" x14ac:dyDescent="0.25">
      <c r="A51" s="103"/>
      <c r="B51" s="104"/>
      <c r="C51" s="104"/>
      <c r="D51" s="104"/>
      <c r="E51" s="104"/>
      <c r="F51" s="104"/>
      <c r="G51" s="168"/>
    </row>
    <row r="52" spans="1:7" ht="13.5" thickBot="1" x14ac:dyDescent="0.25">
      <c r="A52" s="103"/>
      <c r="B52" s="169" t="s">
        <v>32</v>
      </c>
      <c r="C52" s="104"/>
      <c r="D52" s="104"/>
      <c r="E52" s="104"/>
      <c r="F52" s="170"/>
      <c r="G52" s="105"/>
    </row>
    <row r="53" spans="1:7" ht="13.5" thickBot="1" x14ac:dyDescent="0.25">
      <c r="A53" s="103"/>
      <c r="B53" s="171" t="s">
        <v>33</v>
      </c>
      <c r="C53" s="172"/>
      <c r="D53" s="173" t="e">
        <f>ROUND(G50/D26,6)</f>
        <v>#DIV/0!</v>
      </c>
      <c r="E53" s="104"/>
      <c r="F53" s="174" t="s">
        <v>34</v>
      </c>
      <c r="G53" s="102"/>
    </row>
    <row r="54" spans="1:7" ht="13.5" thickBot="1" x14ac:dyDescent="0.25">
      <c r="A54" s="103"/>
      <c r="B54" s="175"/>
      <c r="C54" s="104"/>
      <c r="D54" s="104"/>
      <c r="E54" s="104"/>
      <c r="F54" s="131"/>
      <c r="G54" s="105"/>
    </row>
    <row r="55" spans="1:7" ht="13.5" thickBot="1" x14ac:dyDescent="0.25">
      <c r="A55" s="103"/>
      <c r="B55" s="169" t="s">
        <v>35</v>
      </c>
      <c r="C55" s="104"/>
      <c r="D55" s="104"/>
      <c r="E55" s="104"/>
      <c r="F55" s="131" t="s">
        <v>36</v>
      </c>
      <c r="G55" s="105"/>
    </row>
    <row r="56" spans="1:7" ht="13.5" thickBot="1" x14ac:dyDescent="0.25">
      <c r="A56" s="103"/>
      <c r="B56" s="171" t="s">
        <v>37</v>
      </c>
      <c r="C56" s="172"/>
      <c r="D56" s="176">
        <f>+D26*D22/365*D31</f>
        <v>0</v>
      </c>
      <c r="E56" s="104"/>
      <c r="F56" s="103"/>
      <c r="G56" s="105"/>
    </row>
    <row r="57" spans="1:7" ht="13.5" thickBot="1" x14ac:dyDescent="0.25">
      <c r="A57" s="103"/>
      <c r="B57" s="175"/>
      <c r="C57" s="104"/>
      <c r="D57" s="104"/>
      <c r="E57" s="104"/>
      <c r="F57" s="131" t="s">
        <v>38</v>
      </c>
      <c r="G57" s="105"/>
    </row>
    <row r="58" spans="1:7" ht="13.5" thickBot="1" x14ac:dyDescent="0.25">
      <c r="A58" s="103"/>
      <c r="B58" s="169" t="s">
        <v>39</v>
      </c>
      <c r="C58" s="104"/>
      <c r="D58" s="104"/>
      <c r="E58" s="104"/>
      <c r="F58" s="103"/>
      <c r="G58" s="105"/>
    </row>
    <row r="59" spans="1:7" ht="15.75" thickBot="1" x14ac:dyDescent="0.3">
      <c r="A59" s="103"/>
      <c r="B59" s="177" t="s">
        <v>40</v>
      </c>
      <c r="C59" s="178"/>
      <c r="D59" s="179" t="e">
        <f>+(D11*D53)+D56</f>
        <v>#DIV/0!</v>
      </c>
      <c r="E59" s="104"/>
      <c r="F59" s="131" t="s">
        <v>41</v>
      </c>
      <c r="G59" s="105"/>
    </row>
    <row r="60" spans="1:7" ht="13.5" thickBot="1" x14ac:dyDescent="0.25">
      <c r="A60" s="103"/>
      <c r="B60" s="175"/>
      <c r="C60" s="104"/>
      <c r="D60" s="104"/>
      <c r="E60" s="104"/>
      <c r="F60" s="103"/>
      <c r="G60" s="105"/>
    </row>
    <row r="61" spans="1:7" ht="13.5" thickBot="1" x14ac:dyDescent="0.25">
      <c r="A61" s="103"/>
      <c r="B61" s="169" t="s">
        <v>42</v>
      </c>
      <c r="C61" s="104"/>
      <c r="D61" s="170"/>
      <c r="E61" s="104"/>
      <c r="F61" s="131" t="s">
        <v>43</v>
      </c>
      <c r="G61" s="105"/>
    </row>
    <row r="62" spans="1:7" ht="13.5" thickBot="1" x14ac:dyDescent="0.25">
      <c r="A62" s="103"/>
      <c r="B62" s="171" t="s">
        <v>44</v>
      </c>
      <c r="C62" s="172"/>
      <c r="D62" s="173" t="e">
        <f>+(D59/D26)</f>
        <v>#DIV/0!</v>
      </c>
      <c r="E62" s="104"/>
      <c r="F62" s="122"/>
      <c r="G62" s="124"/>
    </row>
    <row r="63" spans="1:7" x14ac:dyDescent="0.2">
      <c r="A63" s="103"/>
      <c r="B63" s="104"/>
      <c r="C63" s="104"/>
      <c r="D63" s="104"/>
      <c r="E63" s="104"/>
      <c r="F63" s="104"/>
      <c r="G63" s="105"/>
    </row>
    <row r="64" spans="1:7" ht="13.5" thickBot="1" x14ac:dyDescent="0.25">
      <c r="A64" s="122"/>
      <c r="B64" s="123"/>
      <c r="C64" s="123"/>
      <c r="D64" s="123"/>
      <c r="E64" s="123"/>
      <c r="F64" s="123"/>
      <c r="G64" s="124"/>
    </row>
  </sheetData>
  <mergeCells count="3">
    <mergeCell ref="A3:F3"/>
    <mergeCell ref="B19:C19"/>
    <mergeCell ref="A36:C36"/>
  </mergeCells>
  <pageMargins left="0.75" right="0.75" top="1" bottom="1" header="0.5" footer="0.5"/>
  <pageSetup scale="77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K74"/>
  <sheetViews>
    <sheetView topLeftCell="A22" zoomScale="110" zoomScaleNormal="110" workbookViewId="0">
      <selection activeCell="E55" sqref="E55"/>
    </sheetView>
  </sheetViews>
  <sheetFormatPr defaultColWidth="11.42578125" defaultRowHeight="12.75" x14ac:dyDescent="0.2"/>
  <cols>
    <col min="1" max="1" width="7.5703125" style="12" customWidth="1"/>
    <col min="2" max="2" width="22" style="12" customWidth="1"/>
    <col min="3" max="3" width="18" style="12" customWidth="1"/>
    <col min="4" max="4" width="18.7109375" style="12" bestFit="1" customWidth="1"/>
    <col min="5" max="6" width="15.42578125" style="12" bestFit="1" customWidth="1"/>
    <col min="7" max="7" width="16.42578125" style="12" customWidth="1"/>
    <col min="8" max="9" width="11.42578125" style="12" customWidth="1"/>
    <col min="10" max="10" width="11.42578125" style="39" customWidth="1"/>
    <col min="11" max="16384" width="11.42578125" style="12"/>
  </cols>
  <sheetData>
    <row r="1" spans="1:7" ht="13.5" thickBot="1" x14ac:dyDescent="0.25">
      <c r="A1" s="11"/>
      <c r="B1" s="11"/>
      <c r="C1" s="11"/>
      <c r="D1" s="11"/>
      <c r="E1" s="11"/>
      <c r="F1" s="11"/>
      <c r="G1" s="11"/>
    </row>
    <row r="2" spans="1:7" ht="13.5" thickBot="1" x14ac:dyDescent="0.25">
      <c r="A2" s="13"/>
      <c r="B2" s="14"/>
      <c r="C2" s="14"/>
      <c r="D2" s="14"/>
      <c r="E2" s="14"/>
      <c r="F2" s="15"/>
      <c r="G2" s="11"/>
    </row>
    <row r="3" spans="1:7" ht="16.5" thickBot="1" x14ac:dyDescent="0.3">
      <c r="A3" s="276" t="s">
        <v>72</v>
      </c>
      <c r="B3" s="277"/>
      <c r="C3" s="277"/>
      <c r="D3" s="277"/>
      <c r="E3" s="277"/>
      <c r="F3" s="278"/>
      <c r="G3" s="11"/>
    </row>
    <row r="4" spans="1:7" ht="13.5" thickBot="1" x14ac:dyDescent="0.25">
      <c r="A4" s="16"/>
      <c r="B4" s="17"/>
      <c r="C4" s="17"/>
      <c r="D4" s="17"/>
      <c r="E4" s="17"/>
      <c r="F4" s="18"/>
      <c r="G4" s="11"/>
    </row>
    <row r="5" spans="1:7" ht="15.75" thickBot="1" x14ac:dyDescent="0.3">
      <c r="A5" s="19" t="s">
        <v>73</v>
      </c>
      <c r="B5" s="20"/>
      <c r="C5" s="20"/>
      <c r="D5" s="21" t="s">
        <v>74</v>
      </c>
      <c r="E5" s="17"/>
      <c r="F5" s="18"/>
      <c r="G5" s="11"/>
    </row>
    <row r="6" spans="1:7" ht="8.25" customHeight="1" thickBot="1" x14ac:dyDescent="0.3">
      <c r="A6" s="22"/>
      <c r="B6" s="17"/>
      <c r="C6" s="23"/>
      <c r="D6" s="17"/>
      <c r="E6" s="17"/>
      <c r="F6" s="18"/>
      <c r="G6" s="11"/>
    </row>
    <row r="7" spans="1:7" ht="16.5" thickBot="1" x14ac:dyDescent="0.3">
      <c r="A7" s="16"/>
      <c r="B7" s="24" t="s">
        <v>3</v>
      </c>
      <c r="C7" s="17"/>
      <c r="D7" s="25"/>
      <c r="E7" s="17"/>
      <c r="F7" s="18"/>
      <c r="G7" s="11"/>
    </row>
    <row r="8" spans="1:7" ht="16.5" thickBot="1" x14ac:dyDescent="0.3">
      <c r="A8" s="16"/>
      <c r="B8" s="26" t="s">
        <v>4</v>
      </c>
      <c r="C8" s="27"/>
      <c r="D8" s="28">
        <f>+IF(D7=0,0,D63)</f>
        <v>0</v>
      </c>
      <c r="E8" s="17"/>
      <c r="F8" s="18"/>
      <c r="G8" s="11"/>
    </row>
    <row r="9" spans="1:7" ht="16.5" thickBot="1" x14ac:dyDescent="0.3">
      <c r="A9" s="16"/>
      <c r="B9" s="26" t="s">
        <v>5</v>
      </c>
      <c r="C9" s="27"/>
      <c r="D9" s="28">
        <f>+IF(D7=0,0,D72)</f>
        <v>0</v>
      </c>
      <c r="E9" s="17"/>
      <c r="F9" s="18"/>
      <c r="G9" s="11"/>
    </row>
    <row r="10" spans="1:7" ht="16.5" thickBot="1" x14ac:dyDescent="0.3">
      <c r="A10" s="16"/>
      <c r="B10" s="29"/>
      <c r="C10" s="27"/>
      <c r="D10" s="30"/>
      <c r="E10" s="17"/>
      <c r="F10" s="18"/>
      <c r="G10" s="11"/>
    </row>
    <row r="11" spans="1:7" ht="15.75" thickBot="1" x14ac:dyDescent="0.3">
      <c r="A11" s="16"/>
      <c r="B11" s="31" t="s">
        <v>6</v>
      </c>
      <c r="C11" s="32"/>
      <c r="D11" s="33"/>
      <c r="E11" s="17"/>
      <c r="F11" s="18"/>
      <c r="G11" s="11"/>
    </row>
    <row r="12" spans="1:7" ht="15.75" thickBot="1" x14ac:dyDescent="0.3">
      <c r="A12" s="16"/>
      <c r="B12" s="26" t="s">
        <v>7</v>
      </c>
      <c r="C12" s="32"/>
      <c r="D12" s="34">
        <f>+IF(D11=0,0,D69)</f>
        <v>0</v>
      </c>
      <c r="E12" s="17"/>
      <c r="F12" s="18"/>
      <c r="G12" s="11"/>
    </row>
    <row r="13" spans="1:7" ht="15.75" thickBot="1" x14ac:dyDescent="0.3">
      <c r="A13" s="16"/>
      <c r="B13" s="26" t="s">
        <v>8</v>
      </c>
      <c r="C13" s="32"/>
      <c r="D13" s="34">
        <f>+D21-D28</f>
        <v>1820</v>
      </c>
      <c r="E13" s="17"/>
      <c r="F13" s="18"/>
      <c r="G13" s="11"/>
    </row>
    <row r="14" spans="1:7" ht="14.25" customHeight="1" thickBot="1" x14ac:dyDescent="0.25">
      <c r="A14" s="35"/>
      <c r="B14" s="36"/>
      <c r="C14" s="36"/>
      <c r="D14" s="36"/>
      <c r="E14" s="36"/>
      <c r="F14" s="37"/>
      <c r="G14" s="11"/>
    </row>
    <row r="15" spans="1:7" ht="5.25" customHeight="1" thickBot="1" x14ac:dyDescent="0.25">
      <c r="A15" s="11"/>
      <c r="B15" s="11"/>
      <c r="C15" s="11"/>
      <c r="D15" s="11"/>
      <c r="E15" s="11"/>
      <c r="F15" s="11"/>
      <c r="G15" s="11"/>
    </row>
    <row r="16" spans="1:7" ht="13.5" thickBot="1" x14ac:dyDescent="0.25">
      <c r="A16" s="13"/>
      <c r="B16" s="14"/>
      <c r="C16" s="14"/>
      <c r="D16" s="14"/>
      <c r="E16" s="14"/>
      <c r="F16" s="14"/>
      <c r="G16" s="15"/>
    </row>
    <row r="17" spans="1:11" ht="15.75" thickBot="1" x14ac:dyDescent="0.3">
      <c r="A17" s="19" t="str">
        <f>+A5</f>
        <v>Emisión Certificados a 5 años:</v>
      </c>
      <c r="B17" s="20"/>
      <c r="C17" s="21" t="str">
        <f>+D5</f>
        <v>DOBCCI102013</v>
      </c>
      <c r="D17" s="38"/>
      <c r="E17" s="17"/>
      <c r="F17" s="17"/>
      <c r="G17" s="18"/>
    </row>
    <row r="18" spans="1:11" ht="13.5" thickBot="1" x14ac:dyDescent="0.25">
      <c r="A18" s="16"/>
      <c r="B18" s="17"/>
      <c r="C18" s="17"/>
      <c r="D18" s="17"/>
      <c r="E18" s="17"/>
      <c r="F18" s="17"/>
      <c r="G18" s="18"/>
    </row>
    <row r="19" spans="1:11" ht="13.5" thickBot="1" x14ac:dyDescent="0.25">
      <c r="A19" s="16"/>
      <c r="B19" s="279" t="s">
        <v>9</v>
      </c>
      <c r="C19" s="280"/>
      <c r="D19" s="17"/>
      <c r="E19" s="17"/>
      <c r="F19" s="17"/>
      <c r="G19" s="18"/>
      <c r="I19" s="40"/>
    </row>
    <row r="20" spans="1:11" x14ac:dyDescent="0.2">
      <c r="A20" s="16"/>
      <c r="B20" s="41" t="s">
        <v>10</v>
      </c>
      <c r="C20" s="14"/>
      <c r="D20" s="42">
        <v>39725</v>
      </c>
      <c r="E20" s="17"/>
      <c r="F20" s="17"/>
      <c r="G20" s="18"/>
      <c r="I20" s="40"/>
    </row>
    <row r="21" spans="1:11" x14ac:dyDescent="0.2">
      <c r="A21" s="16"/>
      <c r="B21" s="43" t="s">
        <v>11</v>
      </c>
      <c r="C21" s="17"/>
      <c r="D21" s="44">
        <v>41551</v>
      </c>
      <c r="E21" s="17"/>
      <c r="F21" s="17"/>
      <c r="G21" s="18"/>
      <c r="I21" s="40"/>
      <c r="J21" s="40"/>
      <c r="K21" s="40"/>
    </row>
    <row r="22" spans="1:11" x14ac:dyDescent="0.2">
      <c r="A22" s="16"/>
      <c r="B22" s="43" t="s">
        <v>12</v>
      </c>
      <c r="C22" s="17"/>
      <c r="D22" s="45">
        <v>0.2</v>
      </c>
      <c r="E22" s="17"/>
      <c r="F22" s="17"/>
      <c r="G22" s="18"/>
      <c r="I22" s="46"/>
      <c r="J22" s="40"/>
    </row>
    <row r="23" spans="1:11" x14ac:dyDescent="0.2">
      <c r="A23" s="16"/>
      <c r="B23" s="43" t="s">
        <v>13</v>
      </c>
      <c r="C23" s="17"/>
      <c r="D23" s="47">
        <v>4</v>
      </c>
      <c r="E23" s="17"/>
      <c r="F23" s="17"/>
      <c r="G23" s="18"/>
      <c r="K23" s="39"/>
    </row>
    <row r="24" spans="1:11" ht="13.5" thickBot="1" x14ac:dyDescent="0.25">
      <c r="A24" s="16"/>
      <c r="B24" s="48" t="s">
        <v>14</v>
      </c>
      <c r="C24" s="36"/>
      <c r="D24" s="49">
        <v>100000</v>
      </c>
      <c r="E24" s="17"/>
      <c r="F24" s="17"/>
      <c r="G24" s="18"/>
    </row>
    <row r="25" spans="1:11" ht="13.5" thickBot="1" x14ac:dyDescent="0.25">
      <c r="A25" s="16"/>
      <c r="B25" s="17"/>
      <c r="C25" s="11"/>
      <c r="D25" s="50"/>
      <c r="E25" s="17"/>
      <c r="F25" s="17"/>
      <c r="G25" s="18"/>
    </row>
    <row r="26" spans="1:11" x14ac:dyDescent="0.2">
      <c r="A26" s="16"/>
      <c r="B26" s="41" t="s">
        <v>15</v>
      </c>
      <c r="C26" s="14"/>
      <c r="D26" s="51">
        <f>+D11</f>
        <v>0</v>
      </c>
      <c r="E26" s="17"/>
      <c r="F26" s="17"/>
      <c r="G26" s="18"/>
    </row>
    <row r="27" spans="1:11" x14ac:dyDescent="0.2">
      <c r="A27" s="16"/>
      <c r="B27" s="43" t="s">
        <v>1</v>
      </c>
      <c r="C27" s="11"/>
      <c r="D27" s="52">
        <f>+D7</f>
        <v>0</v>
      </c>
      <c r="E27" s="17"/>
      <c r="F27" s="17"/>
      <c r="G27" s="18"/>
      <c r="I27" s="40"/>
    </row>
    <row r="28" spans="1:11" ht="13.5" thickBot="1" x14ac:dyDescent="0.25">
      <c r="A28" s="16"/>
      <c r="B28" s="48" t="s">
        <v>16</v>
      </c>
      <c r="C28" s="36"/>
      <c r="D28" s="53">
        <v>39731</v>
      </c>
      <c r="E28" s="17"/>
      <c r="F28" s="17"/>
      <c r="G28" s="18"/>
    </row>
    <row r="29" spans="1:11" x14ac:dyDescent="0.2">
      <c r="A29" s="16"/>
      <c r="B29" s="17"/>
      <c r="C29" s="17"/>
      <c r="D29" s="17"/>
      <c r="E29" s="17"/>
      <c r="F29" s="17"/>
      <c r="G29" s="18"/>
    </row>
    <row r="30" spans="1:11" ht="13.5" thickBot="1" x14ac:dyDescent="0.25">
      <c r="A30" s="16"/>
      <c r="B30" s="54" t="s">
        <v>17</v>
      </c>
      <c r="C30" s="17"/>
      <c r="D30" s="17"/>
      <c r="E30" s="17"/>
      <c r="F30" s="17"/>
      <c r="G30" s="18"/>
    </row>
    <row r="31" spans="1:11" x14ac:dyDescent="0.2">
      <c r="A31" s="16"/>
      <c r="B31" s="41" t="s">
        <v>18</v>
      </c>
      <c r="C31" s="14"/>
      <c r="D31" s="55">
        <f>+D28-D20</f>
        <v>6</v>
      </c>
      <c r="E31" s="17"/>
      <c r="F31" s="17"/>
      <c r="G31" s="18"/>
    </row>
    <row r="32" spans="1:11" x14ac:dyDescent="0.2">
      <c r="A32" s="16"/>
      <c r="B32" s="43" t="s">
        <v>0</v>
      </c>
      <c r="C32" s="17"/>
      <c r="D32" s="56">
        <f>+D13</f>
        <v>1820</v>
      </c>
      <c r="E32" s="17"/>
      <c r="F32" s="17"/>
      <c r="G32" s="18"/>
    </row>
    <row r="33" spans="1:7" x14ac:dyDescent="0.2">
      <c r="A33" s="16"/>
      <c r="B33" s="43" t="s">
        <v>75</v>
      </c>
      <c r="C33" s="17"/>
      <c r="D33" s="57">
        <f>+D27/D23</f>
        <v>0</v>
      </c>
      <c r="E33" s="17"/>
      <c r="F33" s="17"/>
      <c r="G33" s="18"/>
    </row>
    <row r="34" spans="1:7" ht="13.5" thickBot="1" x14ac:dyDescent="0.25">
      <c r="A34" s="16"/>
      <c r="B34" s="48" t="s">
        <v>20</v>
      </c>
      <c r="C34" s="36"/>
      <c r="D34" s="58">
        <f>+(C39-D31)/C39</f>
        <v>0.93478260869565222</v>
      </c>
      <c r="E34" s="17"/>
      <c r="F34" s="17"/>
      <c r="G34" s="18"/>
    </row>
    <row r="35" spans="1:7" ht="13.5" thickBot="1" x14ac:dyDescent="0.25">
      <c r="A35" s="16"/>
      <c r="B35" s="17"/>
      <c r="C35" s="17"/>
      <c r="D35" s="59"/>
      <c r="E35" s="17"/>
      <c r="F35" s="60"/>
      <c r="G35" s="18"/>
    </row>
    <row r="36" spans="1:7" ht="13.5" thickBot="1" x14ac:dyDescent="0.25">
      <c r="A36" s="279" t="s">
        <v>21</v>
      </c>
      <c r="B36" s="281"/>
      <c r="C36" s="280"/>
      <c r="D36" s="17"/>
      <c r="E36" s="17"/>
      <c r="F36" s="59"/>
      <c r="G36" s="18"/>
    </row>
    <row r="37" spans="1:7" x14ac:dyDescent="0.2">
      <c r="A37" s="61"/>
      <c r="B37" s="62"/>
      <c r="C37" s="62"/>
      <c r="D37" s="63" t="s">
        <v>22</v>
      </c>
      <c r="E37" s="63" t="s">
        <v>23</v>
      </c>
      <c r="F37" s="63" t="s">
        <v>24</v>
      </c>
      <c r="G37" s="64" t="s">
        <v>25</v>
      </c>
    </row>
    <row r="38" spans="1:7" ht="13.5" thickBot="1" x14ac:dyDescent="0.25">
      <c r="A38" s="65" t="s">
        <v>26</v>
      </c>
      <c r="B38" s="66" t="s">
        <v>27</v>
      </c>
      <c r="C38" s="66" t="s">
        <v>28</v>
      </c>
      <c r="D38" s="66" t="s">
        <v>29</v>
      </c>
      <c r="E38" s="66" t="s">
        <v>26</v>
      </c>
      <c r="F38" s="66" t="s">
        <v>30</v>
      </c>
      <c r="G38" s="67" t="s">
        <v>31</v>
      </c>
    </row>
    <row r="39" spans="1:7" ht="13.5" thickTop="1" x14ac:dyDescent="0.2">
      <c r="A39" s="68">
        <v>1</v>
      </c>
      <c r="B39" s="69">
        <v>39817</v>
      </c>
      <c r="C39" s="70">
        <f>+B39-D20</f>
        <v>92</v>
      </c>
      <c r="D39" s="70">
        <f>+B39-D20</f>
        <v>92</v>
      </c>
      <c r="E39" s="71">
        <f t="shared" ref="E39:E50" si="0">+$D$26*$D$22/365*C39</f>
        <v>0</v>
      </c>
      <c r="F39" s="72">
        <f>+E39*D34</f>
        <v>0</v>
      </c>
      <c r="G39" s="73">
        <f>+F39/(1+$D$33)^D34</f>
        <v>0</v>
      </c>
    </row>
    <row r="40" spans="1:7" x14ac:dyDescent="0.2">
      <c r="A40" s="68">
        <f>+A39+1</f>
        <v>2</v>
      </c>
      <c r="B40" s="69">
        <v>39907</v>
      </c>
      <c r="C40" s="70">
        <f t="shared" ref="C40:C58" si="1">+B40-B39</f>
        <v>90</v>
      </c>
      <c r="D40" s="70">
        <f t="shared" ref="D40:D58" si="2">+D39+C40</f>
        <v>182</v>
      </c>
      <c r="E40" s="71">
        <f t="shared" si="0"/>
        <v>0</v>
      </c>
      <c r="F40" s="72">
        <f>+E40</f>
        <v>0</v>
      </c>
      <c r="G40" s="73">
        <f>+F40/(1+$D$33)^(1+$D$34)</f>
        <v>0</v>
      </c>
    </row>
    <row r="41" spans="1:7" x14ac:dyDescent="0.2">
      <c r="A41" s="68">
        <f>+A40+1</f>
        <v>3</v>
      </c>
      <c r="B41" s="69">
        <v>39998</v>
      </c>
      <c r="C41" s="70">
        <f t="shared" si="1"/>
        <v>91</v>
      </c>
      <c r="D41" s="70">
        <f t="shared" si="2"/>
        <v>273</v>
      </c>
      <c r="E41" s="71">
        <f t="shared" si="0"/>
        <v>0</v>
      </c>
      <c r="F41" s="72">
        <f>+E41</f>
        <v>0</v>
      </c>
      <c r="G41" s="73">
        <f>+F41/(1+$D$33)^(2+$D$34)</f>
        <v>0</v>
      </c>
    </row>
    <row r="42" spans="1:7" x14ac:dyDescent="0.2">
      <c r="A42" s="68">
        <f>+A41+1</f>
        <v>4</v>
      </c>
      <c r="B42" s="69">
        <v>40090</v>
      </c>
      <c r="C42" s="70">
        <f t="shared" si="1"/>
        <v>92</v>
      </c>
      <c r="D42" s="70">
        <f t="shared" si="2"/>
        <v>365</v>
      </c>
      <c r="E42" s="71">
        <f t="shared" si="0"/>
        <v>0</v>
      </c>
      <c r="F42" s="72">
        <f>+E42</f>
        <v>0</v>
      </c>
      <c r="G42" s="73">
        <f>+F42/(1+$D$33)^(3+$D$34)</f>
        <v>0</v>
      </c>
    </row>
    <row r="43" spans="1:7" x14ac:dyDescent="0.2">
      <c r="A43" s="68">
        <f>+A42+1</f>
        <v>5</v>
      </c>
      <c r="B43" s="69">
        <v>40182</v>
      </c>
      <c r="C43" s="70">
        <f t="shared" si="1"/>
        <v>92</v>
      </c>
      <c r="D43" s="70">
        <f t="shared" si="2"/>
        <v>457</v>
      </c>
      <c r="E43" s="71">
        <f t="shared" si="0"/>
        <v>0</v>
      </c>
      <c r="F43" s="72">
        <f>+E43</f>
        <v>0</v>
      </c>
      <c r="G43" s="73">
        <f>+F43/(1+$D$33)^(4+$D$34)</f>
        <v>0</v>
      </c>
    </row>
    <row r="44" spans="1:7" x14ac:dyDescent="0.2">
      <c r="A44" s="68">
        <f>+A43+1</f>
        <v>6</v>
      </c>
      <c r="B44" s="69">
        <v>40272</v>
      </c>
      <c r="C44" s="70">
        <f t="shared" si="1"/>
        <v>90</v>
      </c>
      <c r="D44" s="70">
        <f t="shared" si="2"/>
        <v>547</v>
      </c>
      <c r="E44" s="71">
        <f t="shared" si="0"/>
        <v>0</v>
      </c>
      <c r="F44" s="72">
        <f>+E44</f>
        <v>0</v>
      </c>
      <c r="G44" s="73">
        <f>+F44/(1+$D$33)^(5+$D$34)</f>
        <v>0</v>
      </c>
    </row>
    <row r="45" spans="1:7" x14ac:dyDescent="0.2">
      <c r="A45" s="68">
        <f t="shared" ref="A45:A58" si="3">+A44+1</f>
        <v>7</v>
      </c>
      <c r="B45" s="69">
        <v>40363</v>
      </c>
      <c r="C45" s="70">
        <f t="shared" si="1"/>
        <v>91</v>
      </c>
      <c r="D45" s="70">
        <f t="shared" si="2"/>
        <v>638</v>
      </c>
      <c r="E45" s="71">
        <f t="shared" si="0"/>
        <v>0</v>
      </c>
      <c r="F45" s="72">
        <f t="shared" ref="F45:F57" si="4">+E45</f>
        <v>0</v>
      </c>
      <c r="G45" s="73">
        <f>+F45/(1+$D$33)^(6+$D$34)</f>
        <v>0</v>
      </c>
    </row>
    <row r="46" spans="1:7" x14ac:dyDescent="0.2">
      <c r="A46" s="68">
        <f t="shared" si="3"/>
        <v>8</v>
      </c>
      <c r="B46" s="69">
        <v>40455</v>
      </c>
      <c r="C46" s="70">
        <f t="shared" si="1"/>
        <v>92</v>
      </c>
      <c r="D46" s="70">
        <f t="shared" si="2"/>
        <v>730</v>
      </c>
      <c r="E46" s="71">
        <f t="shared" si="0"/>
        <v>0</v>
      </c>
      <c r="F46" s="72">
        <f t="shared" si="4"/>
        <v>0</v>
      </c>
      <c r="G46" s="73">
        <f>+F46/(1+$D$33)^(7+$D$34)</f>
        <v>0</v>
      </c>
    </row>
    <row r="47" spans="1:7" x14ac:dyDescent="0.2">
      <c r="A47" s="68">
        <f t="shared" si="3"/>
        <v>9</v>
      </c>
      <c r="B47" s="69">
        <v>40547</v>
      </c>
      <c r="C47" s="70">
        <f t="shared" si="1"/>
        <v>92</v>
      </c>
      <c r="D47" s="70">
        <f t="shared" si="2"/>
        <v>822</v>
      </c>
      <c r="E47" s="71">
        <f t="shared" si="0"/>
        <v>0</v>
      </c>
      <c r="F47" s="72">
        <f t="shared" si="4"/>
        <v>0</v>
      </c>
      <c r="G47" s="73">
        <f>+F47/(1+$D$33)^(8+$D$34)</f>
        <v>0</v>
      </c>
    </row>
    <row r="48" spans="1:7" x14ac:dyDescent="0.2">
      <c r="A48" s="68">
        <f t="shared" si="3"/>
        <v>10</v>
      </c>
      <c r="B48" s="69">
        <v>40637</v>
      </c>
      <c r="C48" s="70">
        <f t="shared" si="1"/>
        <v>90</v>
      </c>
      <c r="D48" s="70">
        <f t="shared" si="2"/>
        <v>912</v>
      </c>
      <c r="E48" s="71">
        <f t="shared" si="0"/>
        <v>0</v>
      </c>
      <c r="F48" s="72">
        <f t="shared" si="4"/>
        <v>0</v>
      </c>
      <c r="G48" s="73">
        <f>+F48/(1+$D$33)^(9+$D$34)</f>
        <v>0</v>
      </c>
    </row>
    <row r="49" spans="1:7" x14ac:dyDescent="0.2">
      <c r="A49" s="68">
        <f t="shared" si="3"/>
        <v>11</v>
      </c>
      <c r="B49" s="69">
        <v>40728</v>
      </c>
      <c r="C49" s="70">
        <f t="shared" si="1"/>
        <v>91</v>
      </c>
      <c r="D49" s="70">
        <f t="shared" si="2"/>
        <v>1003</v>
      </c>
      <c r="E49" s="71">
        <f t="shared" si="0"/>
        <v>0</v>
      </c>
      <c r="F49" s="72">
        <f t="shared" si="4"/>
        <v>0</v>
      </c>
      <c r="G49" s="73">
        <f>+F49/(1+$D$33)^(10+$D$34)</f>
        <v>0</v>
      </c>
    </row>
    <row r="50" spans="1:7" x14ac:dyDescent="0.2">
      <c r="A50" s="68">
        <f t="shared" si="3"/>
        <v>12</v>
      </c>
      <c r="B50" s="69">
        <v>40820</v>
      </c>
      <c r="C50" s="70">
        <f t="shared" si="1"/>
        <v>92</v>
      </c>
      <c r="D50" s="70">
        <f t="shared" si="2"/>
        <v>1095</v>
      </c>
      <c r="E50" s="71">
        <f t="shared" si="0"/>
        <v>0</v>
      </c>
      <c r="F50" s="72">
        <f t="shared" si="4"/>
        <v>0</v>
      </c>
      <c r="G50" s="73">
        <f>+F50/(1+$D$33)^(11+$D$34)</f>
        <v>0</v>
      </c>
    </row>
    <row r="51" spans="1:7" x14ac:dyDescent="0.2">
      <c r="A51" s="68">
        <f t="shared" si="3"/>
        <v>13</v>
      </c>
      <c r="B51" s="69">
        <v>40912</v>
      </c>
      <c r="C51" s="70">
        <f t="shared" si="1"/>
        <v>92</v>
      </c>
      <c r="D51" s="70">
        <f t="shared" si="2"/>
        <v>1187</v>
      </c>
      <c r="E51" s="71">
        <f>+$D$26*$D$22/365*C51</f>
        <v>0</v>
      </c>
      <c r="F51" s="72">
        <f t="shared" si="4"/>
        <v>0</v>
      </c>
      <c r="G51" s="73">
        <f>+F51/(1+$D$33)^(12+$D$34)</f>
        <v>0</v>
      </c>
    </row>
    <row r="52" spans="1:7" x14ac:dyDescent="0.2">
      <c r="A52" s="68">
        <f t="shared" si="3"/>
        <v>14</v>
      </c>
      <c r="B52" s="69">
        <v>41003</v>
      </c>
      <c r="C52" s="70">
        <f t="shared" si="1"/>
        <v>91</v>
      </c>
      <c r="D52" s="70">
        <f t="shared" si="2"/>
        <v>1278</v>
      </c>
      <c r="E52" s="71">
        <f>+$D$26*$D$22/366*C52</f>
        <v>0</v>
      </c>
      <c r="F52" s="72">
        <f t="shared" si="4"/>
        <v>0</v>
      </c>
      <c r="G52" s="73">
        <f>+F52/(1+$D$33)^(13+$D$34)</f>
        <v>0</v>
      </c>
    </row>
    <row r="53" spans="1:7" x14ac:dyDescent="0.2">
      <c r="A53" s="68">
        <f t="shared" si="3"/>
        <v>15</v>
      </c>
      <c r="B53" s="69">
        <v>41094</v>
      </c>
      <c r="C53" s="70">
        <f t="shared" si="1"/>
        <v>91</v>
      </c>
      <c r="D53" s="70">
        <f>+D52+C53</f>
        <v>1369</v>
      </c>
      <c r="E53" s="71">
        <f>+$D$26*$D$22/366*C53</f>
        <v>0</v>
      </c>
      <c r="F53" s="72">
        <f t="shared" si="4"/>
        <v>0</v>
      </c>
      <c r="G53" s="73">
        <f>+F53/(1+$D$33)^(14+$D$34)</f>
        <v>0</v>
      </c>
    </row>
    <row r="54" spans="1:7" x14ac:dyDescent="0.2">
      <c r="A54" s="68">
        <f t="shared" si="3"/>
        <v>16</v>
      </c>
      <c r="B54" s="69">
        <v>41186</v>
      </c>
      <c r="C54" s="70">
        <f t="shared" si="1"/>
        <v>92</v>
      </c>
      <c r="D54" s="70">
        <f>+D53+C54</f>
        <v>1461</v>
      </c>
      <c r="E54" s="71">
        <f>+$D$26*$D$22/366*C54</f>
        <v>0</v>
      </c>
      <c r="F54" s="72">
        <f t="shared" si="4"/>
        <v>0</v>
      </c>
      <c r="G54" s="73">
        <f>+F54/(1+$D$33)^(15+$D$34)</f>
        <v>0</v>
      </c>
    </row>
    <row r="55" spans="1:7" x14ac:dyDescent="0.2">
      <c r="A55" s="68">
        <f t="shared" si="3"/>
        <v>17</v>
      </c>
      <c r="B55" s="69">
        <v>41278</v>
      </c>
      <c r="C55" s="70">
        <f t="shared" si="1"/>
        <v>92</v>
      </c>
      <c r="D55" s="70">
        <f>+D54+C55</f>
        <v>1553</v>
      </c>
      <c r="E55" s="71">
        <f>+$D$26*$D$22/366*C55</f>
        <v>0</v>
      </c>
      <c r="F55" s="72">
        <f t="shared" si="4"/>
        <v>0</v>
      </c>
      <c r="G55" s="73">
        <f>+F55/(1+$D$33)^(16+$D$34)</f>
        <v>0</v>
      </c>
    </row>
    <row r="56" spans="1:7" x14ac:dyDescent="0.2">
      <c r="A56" s="68">
        <f t="shared" si="3"/>
        <v>18</v>
      </c>
      <c r="B56" s="69">
        <v>41368</v>
      </c>
      <c r="C56" s="70">
        <f t="shared" si="1"/>
        <v>90</v>
      </c>
      <c r="D56" s="70">
        <f>+D55+C56</f>
        <v>1643</v>
      </c>
      <c r="E56" s="71">
        <f>+$D$26*$D$22/365*C56</f>
        <v>0</v>
      </c>
      <c r="F56" s="72">
        <f t="shared" si="4"/>
        <v>0</v>
      </c>
      <c r="G56" s="73">
        <f>+F56/(1+$D$33)^(17+$D$34)</f>
        <v>0</v>
      </c>
    </row>
    <row r="57" spans="1:7" x14ac:dyDescent="0.2">
      <c r="A57" s="68">
        <f t="shared" si="3"/>
        <v>19</v>
      </c>
      <c r="B57" s="69">
        <v>41459</v>
      </c>
      <c r="C57" s="70">
        <f t="shared" si="1"/>
        <v>91</v>
      </c>
      <c r="D57" s="70">
        <f t="shared" si="2"/>
        <v>1734</v>
      </c>
      <c r="E57" s="71">
        <f>+$D$26*$D$22/365*C57</f>
        <v>0</v>
      </c>
      <c r="F57" s="72">
        <f t="shared" si="4"/>
        <v>0</v>
      </c>
      <c r="G57" s="73">
        <f>+F57/(1+$D$33)^(18+$D$34)</f>
        <v>0</v>
      </c>
    </row>
    <row r="58" spans="1:7" x14ac:dyDescent="0.2">
      <c r="A58" s="68">
        <f t="shared" si="3"/>
        <v>20</v>
      </c>
      <c r="B58" s="69">
        <v>41551</v>
      </c>
      <c r="C58" s="70">
        <f t="shared" si="1"/>
        <v>92</v>
      </c>
      <c r="D58" s="70">
        <f t="shared" si="2"/>
        <v>1826</v>
      </c>
      <c r="E58" s="71">
        <f>+($D$26*$D$22/365*C58)+D26</f>
        <v>0</v>
      </c>
      <c r="F58" s="72">
        <f>+E58</f>
        <v>0</v>
      </c>
      <c r="G58" s="73">
        <f>+F58/(1+$D$33)^(19+$D$34)</f>
        <v>0</v>
      </c>
    </row>
    <row r="59" spans="1:7" ht="13.5" thickBot="1" x14ac:dyDescent="0.25">
      <c r="A59" s="74"/>
      <c r="B59" s="70"/>
      <c r="C59" s="75"/>
      <c r="D59" s="76"/>
      <c r="E59" s="77"/>
      <c r="F59" s="77"/>
      <c r="G59" s="78"/>
    </row>
    <row r="60" spans="1:7" ht="13.5" thickBot="1" x14ac:dyDescent="0.25">
      <c r="A60" s="79"/>
      <c r="B60" s="80"/>
      <c r="C60" s="81"/>
      <c r="D60" s="81"/>
      <c r="E60" s="82"/>
      <c r="F60" s="83"/>
      <c r="G60" s="84">
        <f>SUM(G39:G59)</f>
        <v>0</v>
      </c>
    </row>
    <row r="61" spans="1:7" ht="13.5" thickBot="1" x14ac:dyDescent="0.25">
      <c r="A61" s="16"/>
      <c r="B61" s="17"/>
      <c r="C61" s="17"/>
      <c r="D61" s="17"/>
      <c r="E61" s="17"/>
      <c r="F61" s="17"/>
      <c r="G61" s="85"/>
    </row>
    <row r="62" spans="1:7" ht="13.5" thickBot="1" x14ac:dyDescent="0.25">
      <c r="A62" s="16"/>
      <c r="B62" s="86" t="s">
        <v>32</v>
      </c>
      <c r="C62" s="17"/>
      <c r="D62" s="17"/>
      <c r="E62" s="17"/>
      <c r="F62" s="87"/>
      <c r="G62" s="18"/>
    </row>
    <row r="63" spans="1:7" ht="13.5" thickBot="1" x14ac:dyDescent="0.25">
      <c r="A63" s="16"/>
      <c r="B63" s="88" t="s">
        <v>33</v>
      </c>
      <c r="C63" s="89"/>
      <c r="D63" s="90" t="e">
        <f>ROUND(G60/D26,6)</f>
        <v>#DIV/0!</v>
      </c>
      <c r="E63" s="17"/>
      <c r="F63" s="91" t="s">
        <v>34</v>
      </c>
      <c r="G63" s="15"/>
    </row>
    <row r="64" spans="1:7" ht="13.5" thickBot="1" x14ac:dyDescent="0.25">
      <c r="A64" s="16"/>
      <c r="B64" s="92"/>
      <c r="C64" s="17"/>
      <c r="D64" s="17"/>
      <c r="E64" s="17"/>
      <c r="F64" s="93"/>
      <c r="G64" s="18"/>
    </row>
    <row r="65" spans="1:7" ht="13.5" thickBot="1" x14ac:dyDescent="0.25">
      <c r="A65" s="16"/>
      <c r="B65" s="86" t="s">
        <v>35</v>
      </c>
      <c r="C65" s="17"/>
      <c r="D65" s="17"/>
      <c r="E65" s="17"/>
      <c r="F65" s="43" t="s">
        <v>76</v>
      </c>
      <c r="G65" s="18"/>
    </row>
    <row r="66" spans="1:7" ht="13.5" thickBot="1" x14ac:dyDescent="0.25">
      <c r="A66" s="16"/>
      <c r="B66" s="88" t="s">
        <v>37</v>
      </c>
      <c r="C66" s="89"/>
      <c r="D66" s="94">
        <f>+D26*D22/365*D31</f>
        <v>0</v>
      </c>
      <c r="E66" s="17"/>
      <c r="F66" s="16"/>
      <c r="G66" s="18"/>
    </row>
    <row r="67" spans="1:7" ht="13.5" thickBot="1" x14ac:dyDescent="0.25">
      <c r="A67" s="16"/>
      <c r="B67" s="92"/>
      <c r="C67" s="17"/>
      <c r="D67" s="17"/>
      <c r="E67" s="17"/>
      <c r="F67" s="43" t="s">
        <v>77</v>
      </c>
      <c r="G67" s="18"/>
    </row>
    <row r="68" spans="1:7" ht="13.5" thickBot="1" x14ac:dyDescent="0.25">
      <c r="A68" s="16"/>
      <c r="B68" s="86" t="s">
        <v>39</v>
      </c>
      <c r="C68" s="17"/>
      <c r="D68" s="17"/>
      <c r="E68" s="17"/>
      <c r="F68" s="16"/>
      <c r="G68" s="18"/>
    </row>
    <row r="69" spans="1:7" ht="15.75" thickBot="1" x14ac:dyDescent="0.3">
      <c r="A69" s="16"/>
      <c r="B69" s="95" t="s">
        <v>40</v>
      </c>
      <c r="C69" s="96"/>
      <c r="D69" s="97" t="e">
        <f>+(D11*D63)+D66</f>
        <v>#DIV/0!</v>
      </c>
      <c r="E69" s="17"/>
      <c r="F69" s="43" t="s">
        <v>78</v>
      </c>
      <c r="G69" s="18"/>
    </row>
    <row r="70" spans="1:7" ht="13.5" thickBot="1" x14ac:dyDescent="0.25">
      <c r="A70" s="16"/>
      <c r="B70" s="92"/>
      <c r="C70" s="17"/>
      <c r="D70" s="17"/>
      <c r="E70" s="17"/>
      <c r="F70" s="16"/>
      <c r="G70" s="18"/>
    </row>
    <row r="71" spans="1:7" ht="13.5" thickBot="1" x14ac:dyDescent="0.25">
      <c r="A71" s="16"/>
      <c r="B71" s="86" t="s">
        <v>42</v>
      </c>
      <c r="C71" s="17"/>
      <c r="D71" s="87"/>
      <c r="E71" s="17"/>
      <c r="F71" s="43" t="s">
        <v>79</v>
      </c>
      <c r="G71" s="18"/>
    </row>
    <row r="72" spans="1:7" ht="13.5" thickBot="1" x14ac:dyDescent="0.25">
      <c r="A72" s="16"/>
      <c r="B72" s="88" t="s">
        <v>44</v>
      </c>
      <c r="C72" s="89"/>
      <c r="D72" s="90" t="e">
        <f>+(D69/D26)</f>
        <v>#DIV/0!</v>
      </c>
      <c r="E72" s="17"/>
      <c r="F72" s="35"/>
      <c r="G72" s="37"/>
    </row>
    <row r="73" spans="1:7" x14ac:dyDescent="0.2">
      <c r="A73" s="16"/>
      <c r="B73" s="17"/>
      <c r="C73" s="17"/>
      <c r="D73" s="17"/>
      <c r="E73" s="17"/>
      <c r="F73" s="17"/>
      <c r="G73" s="18"/>
    </row>
    <row r="74" spans="1:7" ht="13.5" thickBot="1" x14ac:dyDescent="0.25">
      <c r="A74" s="35"/>
      <c r="B74" s="36"/>
      <c r="C74" s="36"/>
      <c r="D74" s="36"/>
      <c r="E74" s="36"/>
      <c r="F74" s="36"/>
      <c r="G74" s="37"/>
    </row>
  </sheetData>
  <mergeCells count="3">
    <mergeCell ref="A3:F3"/>
    <mergeCell ref="B19:C19"/>
    <mergeCell ref="A36:C36"/>
  </mergeCells>
  <pageMargins left="0.75" right="0.75" top="1" bottom="1" header="0.5" footer="0.5"/>
  <pageSetup scale="65" orientation="portrait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0"/>
  <dimension ref="A1:U27"/>
  <sheetViews>
    <sheetView workbookViewId="0"/>
  </sheetViews>
  <sheetFormatPr defaultColWidth="11.42578125" defaultRowHeight="12.75" x14ac:dyDescent="0.2"/>
  <cols>
    <col min="1" max="1" width="10.140625" bestFit="1" customWidth="1"/>
    <col min="2" max="2" width="10.42578125" bestFit="1" customWidth="1"/>
    <col min="3" max="3" width="9.42578125" bestFit="1" customWidth="1"/>
    <col min="4" max="4" width="8.140625" bestFit="1" customWidth="1"/>
    <col min="5" max="5" width="27.28515625" bestFit="1" customWidth="1"/>
    <col min="7" max="8" width="6" bestFit="1" customWidth="1"/>
    <col min="9" max="9" width="7.140625" bestFit="1" customWidth="1"/>
    <col min="10" max="21" width="10.140625" bestFit="1" customWidth="1"/>
  </cols>
  <sheetData>
    <row r="1" spans="1:21" x14ac:dyDescent="0.2">
      <c r="A1" s="2" t="s">
        <v>51</v>
      </c>
      <c r="B1" s="2" t="s">
        <v>50</v>
      </c>
      <c r="E1" s="2" t="s">
        <v>60</v>
      </c>
      <c r="G1" t="s">
        <v>58</v>
      </c>
      <c r="H1" t="s">
        <v>63</v>
      </c>
      <c r="J1">
        <v>2009</v>
      </c>
      <c r="K1">
        <f>J1+1</f>
        <v>2010</v>
      </c>
      <c r="L1">
        <f t="shared" ref="L1:U1" si="0">K1+1</f>
        <v>2011</v>
      </c>
      <c r="M1">
        <f t="shared" si="0"/>
        <v>2012</v>
      </c>
      <c r="N1">
        <f t="shared" si="0"/>
        <v>2013</v>
      </c>
      <c r="O1">
        <f t="shared" si="0"/>
        <v>2014</v>
      </c>
      <c r="P1">
        <f t="shared" si="0"/>
        <v>2015</v>
      </c>
      <c r="Q1">
        <f t="shared" si="0"/>
        <v>2016</v>
      </c>
      <c r="R1">
        <f t="shared" si="0"/>
        <v>2017</v>
      </c>
      <c r="S1">
        <f t="shared" si="0"/>
        <v>2018</v>
      </c>
      <c r="T1">
        <f t="shared" si="0"/>
        <v>2019</v>
      </c>
      <c r="U1">
        <f t="shared" si="0"/>
        <v>2020</v>
      </c>
    </row>
    <row r="2" spans="1:21" x14ac:dyDescent="0.2">
      <c r="A2" s="3">
        <v>39507</v>
      </c>
      <c r="B2" s="2" t="s">
        <v>55</v>
      </c>
      <c r="C2" s="2" t="s">
        <v>56</v>
      </c>
      <c r="D2" s="2" t="s">
        <v>57</v>
      </c>
      <c r="E2" s="2" t="s">
        <v>61</v>
      </c>
      <c r="G2">
        <v>39528</v>
      </c>
      <c r="H2">
        <v>39590</v>
      </c>
      <c r="I2" s="4">
        <f>C3</f>
        <v>39819</v>
      </c>
      <c r="J2">
        <f t="shared" ref="J2:U7" si="1">WEEKDAY(DATE(J$1,MONTH($I2),DAY($I2)),2)</f>
        <v>2</v>
      </c>
      <c r="K2">
        <f t="shared" si="1"/>
        <v>3</v>
      </c>
      <c r="L2">
        <f t="shared" si="1"/>
        <v>4</v>
      </c>
      <c r="M2">
        <f t="shared" si="1"/>
        <v>5</v>
      </c>
      <c r="N2">
        <f t="shared" si="1"/>
        <v>7</v>
      </c>
      <c r="O2">
        <f t="shared" si="1"/>
        <v>1</v>
      </c>
      <c r="P2">
        <f t="shared" si="1"/>
        <v>2</v>
      </c>
      <c r="Q2">
        <f t="shared" si="1"/>
        <v>3</v>
      </c>
      <c r="R2">
        <f t="shared" si="1"/>
        <v>5</v>
      </c>
      <c r="S2">
        <f t="shared" si="1"/>
        <v>6</v>
      </c>
      <c r="T2">
        <f t="shared" si="1"/>
        <v>7</v>
      </c>
      <c r="U2">
        <f t="shared" si="1"/>
        <v>1</v>
      </c>
    </row>
    <row r="3" spans="1:21" x14ac:dyDescent="0.2">
      <c r="A3" s="1">
        <f>A2+4*365.25</f>
        <v>40968</v>
      </c>
      <c r="B3" s="4">
        <v>39814</v>
      </c>
      <c r="C3" s="7">
        <v>39819</v>
      </c>
      <c r="D3" s="4">
        <v>39839</v>
      </c>
      <c r="G3">
        <v>39913</v>
      </c>
      <c r="H3">
        <v>39975</v>
      </c>
      <c r="I3" s="4">
        <f>D3</f>
        <v>39839</v>
      </c>
      <c r="J3">
        <f t="shared" si="1"/>
        <v>1</v>
      </c>
      <c r="K3">
        <f t="shared" si="1"/>
        <v>2</v>
      </c>
      <c r="L3">
        <f t="shared" si="1"/>
        <v>3</v>
      </c>
      <c r="M3">
        <f t="shared" si="1"/>
        <v>4</v>
      </c>
      <c r="N3">
        <f t="shared" si="1"/>
        <v>6</v>
      </c>
      <c r="O3">
        <f t="shared" si="1"/>
        <v>7</v>
      </c>
      <c r="P3">
        <f t="shared" si="1"/>
        <v>1</v>
      </c>
      <c r="Q3">
        <f t="shared" si="1"/>
        <v>2</v>
      </c>
      <c r="R3">
        <f t="shared" si="1"/>
        <v>4</v>
      </c>
      <c r="S3">
        <f t="shared" si="1"/>
        <v>5</v>
      </c>
      <c r="T3">
        <f t="shared" si="1"/>
        <v>6</v>
      </c>
      <c r="U3">
        <f t="shared" si="1"/>
        <v>7</v>
      </c>
    </row>
    <row r="4" spans="1:21" x14ac:dyDescent="0.2">
      <c r="A4" s="1">
        <f>A3+4*365.25</f>
        <v>42429</v>
      </c>
      <c r="B4" s="4">
        <v>39834</v>
      </c>
      <c r="C4" s="2" t="s">
        <v>58</v>
      </c>
      <c r="D4" s="4">
        <v>39934</v>
      </c>
      <c r="G4">
        <v>40270</v>
      </c>
      <c r="H4">
        <v>40332</v>
      </c>
      <c r="I4" s="4">
        <f>D4</f>
        <v>39934</v>
      </c>
      <c r="J4">
        <f t="shared" si="1"/>
        <v>5</v>
      </c>
      <c r="K4">
        <f t="shared" si="1"/>
        <v>6</v>
      </c>
      <c r="L4">
        <f t="shared" si="1"/>
        <v>7</v>
      </c>
      <c r="M4">
        <f t="shared" si="1"/>
        <v>2</v>
      </c>
      <c r="N4">
        <f t="shared" si="1"/>
        <v>3</v>
      </c>
      <c r="O4">
        <f t="shared" si="1"/>
        <v>4</v>
      </c>
      <c r="P4">
        <f t="shared" si="1"/>
        <v>5</v>
      </c>
      <c r="Q4">
        <f t="shared" si="1"/>
        <v>7</v>
      </c>
      <c r="R4">
        <f t="shared" si="1"/>
        <v>1</v>
      </c>
      <c r="S4">
        <f t="shared" si="1"/>
        <v>2</v>
      </c>
      <c r="T4">
        <f t="shared" si="1"/>
        <v>3</v>
      </c>
      <c r="U4">
        <f t="shared" si="1"/>
        <v>5</v>
      </c>
    </row>
    <row r="5" spans="1:21" x14ac:dyDescent="0.2">
      <c r="A5" s="1">
        <f>A4+4*365.25</f>
        <v>43890</v>
      </c>
      <c r="B5" s="5">
        <v>39871</v>
      </c>
      <c r="C5" s="2" t="s">
        <v>59</v>
      </c>
      <c r="D5" s="4">
        <v>40041</v>
      </c>
      <c r="E5" s="6" t="s">
        <v>62</v>
      </c>
      <c r="G5">
        <v>40655</v>
      </c>
      <c r="H5">
        <v>40717</v>
      </c>
      <c r="I5" s="4">
        <v>39949</v>
      </c>
      <c r="J5">
        <f t="shared" si="1"/>
        <v>6</v>
      </c>
      <c r="K5">
        <f t="shared" si="1"/>
        <v>7</v>
      </c>
      <c r="L5">
        <f t="shared" si="1"/>
        <v>1</v>
      </c>
      <c r="M5">
        <f t="shared" si="1"/>
        <v>3</v>
      </c>
      <c r="N5">
        <f t="shared" si="1"/>
        <v>4</v>
      </c>
      <c r="O5">
        <f t="shared" si="1"/>
        <v>5</v>
      </c>
      <c r="P5">
        <f t="shared" si="1"/>
        <v>6</v>
      </c>
      <c r="Q5">
        <f t="shared" si="1"/>
        <v>1</v>
      </c>
      <c r="R5">
        <f t="shared" si="1"/>
        <v>2</v>
      </c>
      <c r="S5">
        <f t="shared" si="1"/>
        <v>3</v>
      </c>
      <c r="T5">
        <f t="shared" si="1"/>
        <v>4</v>
      </c>
      <c r="U5">
        <f t="shared" si="1"/>
        <v>6</v>
      </c>
    </row>
    <row r="6" spans="1:21" x14ac:dyDescent="0.2">
      <c r="A6">
        <f>YEAR(A5)-YEAR(A2)</f>
        <v>12</v>
      </c>
      <c r="B6" s="4">
        <v>40080</v>
      </c>
      <c r="D6" s="4">
        <v>40123</v>
      </c>
      <c r="G6">
        <v>41005</v>
      </c>
      <c r="H6">
        <v>41067</v>
      </c>
      <c r="I6" s="4">
        <f>D5</f>
        <v>40041</v>
      </c>
      <c r="J6">
        <f t="shared" si="1"/>
        <v>7</v>
      </c>
      <c r="K6">
        <f t="shared" si="1"/>
        <v>1</v>
      </c>
      <c r="L6">
        <f t="shared" si="1"/>
        <v>2</v>
      </c>
      <c r="M6">
        <f t="shared" si="1"/>
        <v>4</v>
      </c>
      <c r="N6">
        <f t="shared" si="1"/>
        <v>5</v>
      </c>
      <c r="O6">
        <f t="shared" si="1"/>
        <v>6</v>
      </c>
      <c r="P6">
        <f t="shared" si="1"/>
        <v>7</v>
      </c>
      <c r="Q6">
        <f t="shared" si="1"/>
        <v>2</v>
      </c>
      <c r="R6">
        <f t="shared" si="1"/>
        <v>3</v>
      </c>
      <c r="S6">
        <f t="shared" si="1"/>
        <v>4</v>
      </c>
      <c r="T6">
        <f t="shared" si="1"/>
        <v>5</v>
      </c>
      <c r="U6">
        <f t="shared" si="1"/>
        <v>7</v>
      </c>
    </row>
    <row r="7" spans="1:21" x14ac:dyDescent="0.2">
      <c r="B7" s="4">
        <v>40172</v>
      </c>
      <c r="G7">
        <v>41362</v>
      </c>
      <c r="H7">
        <v>41424</v>
      </c>
      <c r="I7" s="4">
        <f>D6</f>
        <v>40123</v>
      </c>
      <c r="J7">
        <f t="shared" si="1"/>
        <v>5</v>
      </c>
      <c r="K7">
        <f t="shared" si="1"/>
        <v>6</v>
      </c>
      <c r="L7">
        <f t="shared" si="1"/>
        <v>7</v>
      </c>
      <c r="M7">
        <f t="shared" si="1"/>
        <v>2</v>
      </c>
      <c r="N7">
        <f t="shared" si="1"/>
        <v>3</v>
      </c>
      <c r="O7">
        <f t="shared" si="1"/>
        <v>4</v>
      </c>
      <c r="P7">
        <f t="shared" si="1"/>
        <v>5</v>
      </c>
      <c r="Q7">
        <f t="shared" si="1"/>
        <v>7</v>
      </c>
      <c r="R7">
        <f t="shared" si="1"/>
        <v>1</v>
      </c>
      <c r="S7">
        <f t="shared" si="1"/>
        <v>2</v>
      </c>
      <c r="T7">
        <f t="shared" si="1"/>
        <v>3</v>
      </c>
      <c r="U7">
        <f t="shared" si="1"/>
        <v>5</v>
      </c>
    </row>
    <row r="8" spans="1:21" x14ac:dyDescent="0.2">
      <c r="G8">
        <v>41747</v>
      </c>
      <c r="H8">
        <v>41809</v>
      </c>
    </row>
    <row r="9" spans="1:21" x14ac:dyDescent="0.2">
      <c r="G9">
        <v>42097</v>
      </c>
      <c r="H9">
        <v>42159</v>
      </c>
      <c r="J9">
        <f t="shared" ref="J9:U9" si="2">IF(OR(J2=1,J2=6,J2=7),0,IF(J2=2,-1,IF(J2=3,-2,IF(J2=4,4,IF(J2=5,3)))))</f>
        <v>-1</v>
      </c>
      <c r="K9">
        <f t="shared" si="2"/>
        <v>-2</v>
      </c>
      <c r="L9">
        <f t="shared" si="2"/>
        <v>4</v>
      </c>
      <c r="M9">
        <f t="shared" si="2"/>
        <v>3</v>
      </c>
      <c r="N9">
        <f t="shared" si="2"/>
        <v>0</v>
      </c>
      <c r="O9">
        <f t="shared" si="2"/>
        <v>0</v>
      </c>
      <c r="P9">
        <f t="shared" si="2"/>
        <v>-1</v>
      </c>
      <c r="Q9">
        <f t="shared" si="2"/>
        <v>-2</v>
      </c>
      <c r="R9">
        <f t="shared" si="2"/>
        <v>3</v>
      </c>
      <c r="S9">
        <f t="shared" si="2"/>
        <v>0</v>
      </c>
      <c r="T9">
        <f t="shared" si="2"/>
        <v>0</v>
      </c>
      <c r="U9">
        <f t="shared" si="2"/>
        <v>0</v>
      </c>
    </row>
    <row r="10" spans="1:21" x14ac:dyDescent="0.2">
      <c r="G10">
        <v>42454</v>
      </c>
      <c r="H10">
        <v>42516</v>
      </c>
      <c r="J10">
        <f t="shared" ref="J10:U10" si="3">IF(OR(J3=1,J3=6,J3=7),0,IF(J3=2,-1,IF(J3=3,-2,IF(J3=4,4,IF(J3=5,3)))))</f>
        <v>0</v>
      </c>
      <c r="K10">
        <f t="shared" si="3"/>
        <v>-1</v>
      </c>
      <c r="L10">
        <f t="shared" si="3"/>
        <v>-2</v>
      </c>
      <c r="M10">
        <f t="shared" si="3"/>
        <v>4</v>
      </c>
      <c r="N10">
        <f t="shared" si="3"/>
        <v>0</v>
      </c>
      <c r="O10">
        <f t="shared" si="3"/>
        <v>0</v>
      </c>
      <c r="P10">
        <f t="shared" si="3"/>
        <v>0</v>
      </c>
      <c r="Q10">
        <f t="shared" si="3"/>
        <v>-1</v>
      </c>
      <c r="R10">
        <f t="shared" si="3"/>
        <v>4</v>
      </c>
      <c r="S10">
        <f t="shared" si="3"/>
        <v>3</v>
      </c>
      <c r="T10">
        <f t="shared" si="3"/>
        <v>0</v>
      </c>
      <c r="U10">
        <f t="shared" si="3"/>
        <v>0</v>
      </c>
    </row>
    <row r="11" spans="1:21" x14ac:dyDescent="0.2">
      <c r="G11">
        <v>42839</v>
      </c>
      <c r="H11">
        <v>42901</v>
      </c>
      <c r="J11">
        <f t="shared" ref="J11:U11" si="4">IF(OR(J4=1,J4=6,J4=7),0,IF(J4=2,-1,IF(J4=3,-2,IF(J4=4,4,IF(J4=5,3)))))</f>
        <v>3</v>
      </c>
      <c r="K11">
        <f t="shared" si="4"/>
        <v>0</v>
      </c>
      <c r="L11">
        <f t="shared" si="4"/>
        <v>0</v>
      </c>
      <c r="M11">
        <f t="shared" si="4"/>
        <v>-1</v>
      </c>
      <c r="N11">
        <f t="shared" si="4"/>
        <v>-2</v>
      </c>
      <c r="O11">
        <f t="shared" si="4"/>
        <v>4</v>
      </c>
      <c r="P11">
        <f t="shared" si="4"/>
        <v>3</v>
      </c>
      <c r="Q11">
        <f t="shared" si="4"/>
        <v>0</v>
      </c>
      <c r="R11">
        <f t="shared" si="4"/>
        <v>0</v>
      </c>
      <c r="S11">
        <f t="shared" si="4"/>
        <v>-1</v>
      </c>
      <c r="T11">
        <f t="shared" si="4"/>
        <v>-2</v>
      </c>
      <c r="U11">
        <f t="shared" si="4"/>
        <v>3</v>
      </c>
    </row>
    <row r="12" spans="1:21" x14ac:dyDescent="0.2">
      <c r="G12">
        <v>43189</v>
      </c>
      <c r="H12">
        <v>43251</v>
      </c>
      <c r="J12" t="str">
        <f>IF(MOD(J1,2)&lt;&gt;0,"",IF(OR(J5=1,J5=6,J5=7),0,IF(J5=2,-1,IF(J5=3,-2,IF(J5=4,4,IF(J5=5,3))))))</f>
        <v/>
      </c>
      <c r="K12">
        <f t="shared" ref="K12:U12" si="5">IF(MOD(K1,2)&lt;&gt;0,"",IF(OR(K5=1,K5=6,K5=7),0,IF(K5=2,-1,IF(K5=3,-2,IF(K5=4,4,IF(K5=5,3))))))</f>
        <v>0</v>
      </c>
      <c r="L12" t="str">
        <f t="shared" si="5"/>
        <v/>
      </c>
      <c r="M12">
        <f t="shared" si="5"/>
        <v>-2</v>
      </c>
      <c r="N12" t="str">
        <f t="shared" si="5"/>
        <v/>
      </c>
      <c r="O12">
        <f t="shared" si="5"/>
        <v>3</v>
      </c>
      <c r="P12" t="str">
        <f t="shared" si="5"/>
        <v/>
      </c>
      <c r="Q12">
        <f t="shared" si="5"/>
        <v>0</v>
      </c>
      <c r="R12" t="str">
        <f t="shared" si="5"/>
        <v/>
      </c>
      <c r="S12">
        <f t="shared" si="5"/>
        <v>-2</v>
      </c>
      <c r="T12" t="str">
        <f t="shared" si="5"/>
        <v/>
      </c>
      <c r="U12">
        <f t="shared" si="5"/>
        <v>0</v>
      </c>
    </row>
    <row r="13" spans="1:21" x14ac:dyDescent="0.2">
      <c r="G13">
        <v>43574</v>
      </c>
      <c r="H13">
        <v>43636</v>
      </c>
      <c r="J13">
        <f t="shared" ref="J13:U13" si="6">IF(OR(J6=1,J6=6,J6=7),0,IF(J6=2,-1,IF(J6=3,-2,IF(J6=4,4,IF(J6=5,3)))))</f>
        <v>0</v>
      </c>
      <c r="K13">
        <f t="shared" si="6"/>
        <v>0</v>
      </c>
      <c r="L13">
        <f t="shared" si="6"/>
        <v>-1</v>
      </c>
      <c r="M13">
        <f t="shared" si="6"/>
        <v>4</v>
      </c>
      <c r="N13">
        <f t="shared" si="6"/>
        <v>3</v>
      </c>
      <c r="O13">
        <f t="shared" si="6"/>
        <v>0</v>
      </c>
      <c r="P13">
        <f t="shared" si="6"/>
        <v>0</v>
      </c>
      <c r="Q13">
        <f t="shared" si="6"/>
        <v>-1</v>
      </c>
      <c r="R13">
        <f t="shared" si="6"/>
        <v>-2</v>
      </c>
      <c r="S13">
        <f t="shared" si="6"/>
        <v>4</v>
      </c>
      <c r="T13">
        <f t="shared" si="6"/>
        <v>3</v>
      </c>
      <c r="U13">
        <f t="shared" si="6"/>
        <v>0</v>
      </c>
    </row>
    <row r="14" spans="1:21" x14ac:dyDescent="0.2">
      <c r="G14">
        <v>43931</v>
      </c>
      <c r="H14">
        <v>43993</v>
      </c>
      <c r="J14">
        <f t="shared" ref="J14:U14" si="7">IF(OR(J7=1,J7=6,J7=7),0,IF(J7=2,-1,IF(J7=3,-2,IF(J7=4,4,IF(J7=5,3)))))</f>
        <v>3</v>
      </c>
      <c r="K14">
        <f t="shared" si="7"/>
        <v>0</v>
      </c>
      <c r="L14">
        <f t="shared" si="7"/>
        <v>0</v>
      </c>
      <c r="M14">
        <f t="shared" si="7"/>
        <v>-1</v>
      </c>
      <c r="N14">
        <f t="shared" si="7"/>
        <v>-2</v>
      </c>
      <c r="O14">
        <f t="shared" si="7"/>
        <v>4</v>
      </c>
      <c r="P14">
        <f t="shared" si="7"/>
        <v>3</v>
      </c>
      <c r="Q14">
        <f t="shared" si="7"/>
        <v>0</v>
      </c>
      <c r="R14">
        <f t="shared" si="7"/>
        <v>0</v>
      </c>
      <c r="S14">
        <f t="shared" si="7"/>
        <v>-1</v>
      </c>
      <c r="T14">
        <f t="shared" si="7"/>
        <v>-2</v>
      </c>
      <c r="U14">
        <f t="shared" si="7"/>
        <v>3</v>
      </c>
    </row>
    <row r="15" spans="1:21" x14ac:dyDescent="0.2">
      <c r="I15" s="8">
        <f>COUNT(J16:U21,G1:H14)+A6*COUNT(B3:B7)</f>
        <v>152</v>
      </c>
    </row>
    <row r="16" spans="1:21" x14ac:dyDescent="0.2">
      <c r="J16">
        <f t="shared" ref="J16:U16" si="8">IF(J9="","",DATE(J$1,MONTH($I2),DAY($I2))+J9)</f>
        <v>39818</v>
      </c>
      <c r="K16">
        <f t="shared" si="8"/>
        <v>40182</v>
      </c>
      <c r="L16">
        <f t="shared" si="8"/>
        <v>40553</v>
      </c>
      <c r="M16">
        <f t="shared" si="8"/>
        <v>40917</v>
      </c>
      <c r="N16">
        <f t="shared" si="8"/>
        <v>41280</v>
      </c>
      <c r="O16">
        <f t="shared" si="8"/>
        <v>41645</v>
      </c>
      <c r="P16">
        <f t="shared" si="8"/>
        <v>42009</v>
      </c>
      <c r="Q16">
        <f t="shared" si="8"/>
        <v>42373</v>
      </c>
      <c r="R16">
        <f t="shared" si="8"/>
        <v>42744</v>
      </c>
      <c r="S16">
        <f t="shared" si="8"/>
        <v>43106</v>
      </c>
      <c r="T16">
        <f t="shared" si="8"/>
        <v>43471</v>
      </c>
      <c r="U16">
        <f t="shared" si="8"/>
        <v>43836</v>
      </c>
    </row>
    <row r="17" spans="10:21" x14ac:dyDescent="0.2">
      <c r="J17">
        <f t="shared" ref="J17:U17" si="9">IF(J10="","",DATE(J$1,MONTH($I3),DAY($I3))+J10)</f>
        <v>39839</v>
      </c>
      <c r="K17">
        <f t="shared" si="9"/>
        <v>40203</v>
      </c>
      <c r="L17">
        <f t="shared" si="9"/>
        <v>40567</v>
      </c>
      <c r="M17">
        <f t="shared" si="9"/>
        <v>40938</v>
      </c>
      <c r="N17">
        <f t="shared" si="9"/>
        <v>41300</v>
      </c>
      <c r="O17">
        <f t="shared" si="9"/>
        <v>41665</v>
      </c>
      <c r="P17">
        <f t="shared" si="9"/>
        <v>42030</v>
      </c>
      <c r="Q17">
        <f t="shared" si="9"/>
        <v>42394</v>
      </c>
      <c r="R17">
        <f t="shared" si="9"/>
        <v>42765</v>
      </c>
      <c r="S17">
        <f t="shared" si="9"/>
        <v>43129</v>
      </c>
      <c r="T17">
        <f t="shared" si="9"/>
        <v>43491</v>
      </c>
      <c r="U17">
        <f t="shared" si="9"/>
        <v>43856</v>
      </c>
    </row>
    <row r="18" spans="10:21" x14ac:dyDescent="0.2">
      <c r="J18">
        <f t="shared" ref="J18:U18" si="10">IF(J11="","",DATE(J$1,MONTH($I4),DAY($I4))+J11)</f>
        <v>39937</v>
      </c>
      <c r="K18">
        <f t="shared" si="10"/>
        <v>40299</v>
      </c>
      <c r="L18">
        <f t="shared" si="10"/>
        <v>40664</v>
      </c>
      <c r="M18">
        <f t="shared" si="10"/>
        <v>41029</v>
      </c>
      <c r="N18">
        <f t="shared" si="10"/>
        <v>41393</v>
      </c>
      <c r="O18">
        <f t="shared" si="10"/>
        <v>41764</v>
      </c>
      <c r="P18">
        <f t="shared" si="10"/>
        <v>42128</v>
      </c>
      <c r="Q18">
        <f t="shared" si="10"/>
        <v>42491</v>
      </c>
      <c r="R18">
        <f t="shared" si="10"/>
        <v>42856</v>
      </c>
      <c r="S18">
        <f t="shared" si="10"/>
        <v>43220</v>
      </c>
      <c r="T18">
        <f t="shared" si="10"/>
        <v>43584</v>
      </c>
      <c r="U18">
        <f t="shared" si="10"/>
        <v>43955</v>
      </c>
    </row>
    <row r="19" spans="10:21" x14ac:dyDescent="0.2">
      <c r="J19" t="str">
        <f t="shared" ref="J19:U19" si="11">IF(J12="","",DATE(J$1,MONTH($I5),DAY($I5))+J12)</f>
        <v/>
      </c>
      <c r="K19">
        <f t="shared" si="11"/>
        <v>40314</v>
      </c>
      <c r="L19" t="str">
        <f t="shared" si="11"/>
        <v/>
      </c>
      <c r="M19">
        <f t="shared" si="11"/>
        <v>41043</v>
      </c>
      <c r="N19" t="str">
        <f t="shared" si="11"/>
        <v/>
      </c>
      <c r="O19">
        <f t="shared" si="11"/>
        <v>41778</v>
      </c>
      <c r="P19" t="str">
        <f t="shared" si="11"/>
        <v/>
      </c>
      <c r="Q19">
        <f t="shared" si="11"/>
        <v>42506</v>
      </c>
      <c r="R19" t="str">
        <f t="shared" si="11"/>
        <v/>
      </c>
      <c r="S19">
        <f t="shared" si="11"/>
        <v>43234</v>
      </c>
      <c r="T19" t="str">
        <f t="shared" si="11"/>
        <v/>
      </c>
      <c r="U19">
        <f t="shared" si="11"/>
        <v>43967</v>
      </c>
    </row>
    <row r="20" spans="10:21" x14ac:dyDescent="0.2">
      <c r="J20">
        <f t="shared" ref="J20:U20" si="12">IF(J13="","",DATE(J$1,MONTH($I6),DAY($I6))+J13)</f>
        <v>40041</v>
      </c>
      <c r="K20">
        <f t="shared" si="12"/>
        <v>40406</v>
      </c>
      <c r="L20">
        <f t="shared" si="12"/>
        <v>40770</v>
      </c>
      <c r="M20">
        <f t="shared" si="12"/>
        <v>41141</v>
      </c>
      <c r="N20">
        <f t="shared" si="12"/>
        <v>41505</v>
      </c>
      <c r="O20">
        <f t="shared" si="12"/>
        <v>41867</v>
      </c>
      <c r="P20">
        <f t="shared" si="12"/>
        <v>42232</v>
      </c>
      <c r="Q20">
        <f t="shared" si="12"/>
        <v>42597</v>
      </c>
      <c r="R20">
        <f t="shared" si="12"/>
        <v>42961</v>
      </c>
      <c r="S20">
        <f t="shared" si="12"/>
        <v>43332</v>
      </c>
      <c r="T20">
        <f t="shared" si="12"/>
        <v>43696</v>
      </c>
      <c r="U20">
        <f t="shared" si="12"/>
        <v>44059</v>
      </c>
    </row>
    <row r="21" spans="10:21" x14ac:dyDescent="0.2">
      <c r="J21">
        <f t="shared" ref="J21:U21" si="13">IF(J14="","",DATE(J$1,MONTH($I7),DAY($I7))+J14)</f>
        <v>40126</v>
      </c>
      <c r="K21">
        <f t="shared" si="13"/>
        <v>40488</v>
      </c>
      <c r="L21">
        <f t="shared" si="13"/>
        <v>40853</v>
      </c>
      <c r="M21">
        <f t="shared" si="13"/>
        <v>41218</v>
      </c>
      <c r="N21">
        <f t="shared" si="13"/>
        <v>41582</v>
      </c>
      <c r="O21">
        <f t="shared" si="13"/>
        <v>41953</v>
      </c>
      <c r="P21">
        <f t="shared" si="13"/>
        <v>42317</v>
      </c>
      <c r="Q21">
        <f t="shared" si="13"/>
        <v>42680</v>
      </c>
      <c r="R21">
        <f t="shared" si="13"/>
        <v>43045</v>
      </c>
      <c r="S21">
        <f t="shared" si="13"/>
        <v>43409</v>
      </c>
      <c r="T21">
        <f t="shared" si="13"/>
        <v>43773</v>
      </c>
      <c r="U21">
        <f t="shared" si="13"/>
        <v>44144</v>
      </c>
    </row>
    <row r="23" spans="10:21" x14ac:dyDescent="0.2">
      <c r="J23" s="1">
        <f>DATE(J$1,MONTH($B3),DAY($B3))</f>
        <v>39814</v>
      </c>
      <c r="K23" s="1">
        <f t="shared" ref="K23:U23" si="14">DATE(K$1,MONTH($B3),DAY($B3))</f>
        <v>40179</v>
      </c>
      <c r="L23" s="1">
        <f t="shared" si="14"/>
        <v>40544</v>
      </c>
      <c r="M23" s="1">
        <f t="shared" si="14"/>
        <v>40909</v>
      </c>
      <c r="N23" s="1">
        <f t="shared" si="14"/>
        <v>41275</v>
      </c>
      <c r="O23" s="1">
        <f t="shared" si="14"/>
        <v>41640</v>
      </c>
      <c r="P23" s="1">
        <f t="shared" si="14"/>
        <v>42005</v>
      </c>
      <c r="Q23" s="1">
        <f t="shared" si="14"/>
        <v>42370</v>
      </c>
      <c r="R23" s="1">
        <f t="shared" si="14"/>
        <v>42736</v>
      </c>
      <c r="S23" s="1">
        <f t="shared" si="14"/>
        <v>43101</v>
      </c>
      <c r="T23" s="1">
        <f t="shared" si="14"/>
        <v>43466</v>
      </c>
      <c r="U23" s="1">
        <f t="shared" si="14"/>
        <v>43831</v>
      </c>
    </row>
    <row r="24" spans="10:21" x14ac:dyDescent="0.2">
      <c r="J24" s="1">
        <f t="shared" ref="J24:U24" si="15">DATE(J$1,MONTH($B4),DAY($B4))</f>
        <v>39834</v>
      </c>
      <c r="K24" s="1">
        <f t="shared" si="15"/>
        <v>40199</v>
      </c>
      <c r="L24" s="1">
        <f t="shared" si="15"/>
        <v>40564</v>
      </c>
      <c r="M24" s="1">
        <f t="shared" si="15"/>
        <v>40929</v>
      </c>
      <c r="N24" s="1">
        <f t="shared" si="15"/>
        <v>41295</v>
      </c>
      <c r="O24" s="1">
        <f t="shared" si="15"/>
        <v>41660</v>
      </c>
      <c r="P24" s="1">
        <f t="shared" si="15"/>
        <v>42025</v>
      </c>
      <c r="Q24" s="1">
        <f t="shared" si="15"/>
        <v>42390</v>
      </c>
      <c r="R24" s="1">
        <f t="shared" si="15"/>
        <v>42756</v>
      </c>
      <c r="S24" s="1">
        <f t="shared" si="15"/>
        <v>43121</v>
      </c>
      <c r="T24" s="1">
        <f t="shared" si="15"/>
        <v>43486</v>
      </c>
      <c r="U24" s="1">
        <f t="shared" si="15"/>
        <v>43851</v>
      </c>
    </row>
    <row r="25" spans="10:21" x14ac:dyDescent="0.2">
      <c r="J25" s="1">
        <f t="shared" ref="J25:U25" si="16">DATE(J$1,MONTH($B5),DAY($B5))</f>
        <v>39871</v>
      </c>
      <c r="K25" s="1">
        <f t="shared" si="16"/>
        <v>40236</v>
      </c>
      <c r="L25" s="1">
        <f t="shared" si="16"/>
        <v>40601</v>
      </c>
      <c r="M25" s="1">
        <f t="shared" si="16"/>
        <v>40966</v>
      </c>
      <c r="N25" s="1">
        <f t="shared" si="16"/>
        <v>41332</v>
      </c>
      <c r="O25" s="1">
        <f t="shared" si="16"/>
        <v>41697</v>
      </c>
      <c r="P25" s="1">
        <f t="shared" si="16"/>
        <v>42062</v>
      </c>
      <c r="Q25" s="1">
        <f t="shared" si="16"/>
        <v>42427</v>
      </c>
      <c r="R25" s="1">
        <f t="shared" si="16"/>
        <v>42793</v>
      </c>
      <c r="S25" s="1">
        <f t="shared" si="16"/>
        <v>43158</v>
      </c>
      <c r="T25" s="1">
        <f t="shared" si="16"/>
        <v>43523</v>
      </c>
      <c r="U25" s="1">
        <f t="shared" si="16"/>
        <v>43888</v>
      </c>
    </row>
    <row r="26" spans="10:21" x14ac:dyDescent="0.2">
      <c r="J26" s="1">
        <f t="shared" ref="J26:U26" si="17">DATE(J$1,MONTH($B6),DAY($B6))</f>
        <v>40080</v>
      </c>
      <c r="K26" s="1">
        <f t="shared" si="17"/>
        <v>40445</v>
      </c>
      <c r="L26" s="1">
        <f t="shared" si="17"/>
        <v>40810</v>
      </c>
      <c r="M26" s="1">
        <f t="shared" si="17"/>
        <v>41176</v>
      </c>
      <c r="N26" s="1">
        <f t="shared" si="17"/>
        <v>41541</v>
      </c>
      <c r="O26" s="1">
        <f t="shared" si="17"/>
        <v>41906</v>
      </c>
      <c r="P26" s="1">
        <f t="shared" si="17"/>
        <v>42271</v>
      </c>
      <c r="Q26" s="1">
        <f t="shared" si="17"/>
        <v>42637</v>
      </c>
      <c r="R26" s="1">
        <f t="shared" si="17"/>
        <v>43002</v>
      </c>
      <c r="S26" s="1">
        <f t="shared" si="17"/>
        <v>43367</v>
      </c>
      <c r="T26" s="1">
        <f t="shared" si="17"/>
        <v>43732</v>
      </c>
      <c r="U26" s="1">
        <f t="shared" si="17"/>
        <v>44098</v>
      </c>
    </row>
    <row r="27" spans="10:21" x14ac:dyDescent="0.2">
      <c r="J27" s="1">
        <f t="shared" ref="J27:U27" si="18">DATE(J$1,MONTH($B7),DAY($B7))</f>
        <v>40172</v>
      </c>
      <c r="K27" s="1">
        <f t="shared" si="18"/>
        <v>40537</v>
      </c>
      <c r="L27" s="1">
        <f t="shared" si="18"/>
        <v>40902</v>
      </c>
      <c r="M27" s="1">
        <f t="shared" si="18"/>
        <v>41268</v>
      </c>
      <c r="N27" s="1">
        <f t="shared" si="18"/>
        <v>41633</v>
      </c>
      <c r="O27" s="1">
        <f t="shared" si="18"/>
        <v>41998</v>
      </c>
      <c r="P27" s="1">
        <f t="shared" si="18"/>
        <v>42363</v>
      </c>
      <c r="Q27" s="1">
        <f t="shared" si="18"/>
        <v>42729</v>
      </c>
      <c r="R27" s="1">
        <f t="shared" si="18"/>
        <v>43094</v>
      </c>
      <c r="S27" s="1">
        <f t="shared" si="18"/>
        <v>43459</v>
      </c>
      <c r="T27" s="1">
        <f t="shared" si="18"/>
        <v>43824</v>
      </c>
      <c r="U27" s="1">
        <f t="shared" si="18"/>
        <v>44190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x"/>
  <dimension ref="A1:Q47"/>
  <sheetViews>
    <sheetView showGridLines="0" topLeftCell="C28" workbookViewId="0">
      <selection activeCell="L46" sqref="L46"/>
    </sheetView>
  </sheetViews>
  <sheetFormatPr defaultColWidth="9.140625" defaultRowHeight="12.75" x14ac:dyDescent="0.2"/>
  <cols>
    <col min="1" max="1" width="4" style="186" customWidth="1"/>
    <col min="2" max="2" width="35.7109375" style="186" customWidth="1"/>
    <col min="3" max="3" width="11.28515625" style="186" customWidth="1"/>
    <col min="4" max="4" width="3" style="186" customWidth="1"/>
    <col min="5" max="5" width="13.85546875" style="186" bestFit="1" customWidth="1"/>
    <col min="6" max="6" width="4" style="186" bestFit="1" customWidth="1"/>
    <col min="7" max="7" width="19.42578125" style="206" customWidth="1"/>
    <col min="8" max="8" width="11.7109375" style="206" bestFit="1" customWidth="1"/>
    <col min="9" max="9" width="13.7109375" style="206" bestFit="1" customWidth="1"/>
    <col min="10" max="10" width="10.85546875" style="206" customWidth="1"/>
    <col min="11" max="11" width="22.5703125" style="186" bestFit="1" customWidth="1"/>
    <col min="12" max="12" width="17.85546875" style="186" bestFit="1" customWidth="1"/>
    <col min="13" max="13" width="9.140625" style="186"/>
    <col min="14" max="14" width="5.28515625" style="186" bestFit="1" customWidth="1"/>
    <col min="15" max="15" width="13" style="186" customWidth="1"/>
    <col min="16" max="16" width="12.5703125" style="186" customWidth="1"/>
    <col min="17" max="17" width="17.28515625" style="186" customWidth="1"/>
    <col min="18" max="16384" width="9.140625" style="186"/>
  </cols>
  <sheetData>
    <row r="1" spans="1:17" x14ac:dyDescent="0.2">
      <c r="A1" s="249" t="s">
        <v>145</v>
      </c>
      <c r="B1" s="250"/>
    </row>
    <row r="2" spans="1:17" x14ac:dyDescent="0.2">
      <c r="A2" s="249" t="s">
        <v>146</v>
      </c>
      <c r="B2" s="250"/>
    </row>
    <row r="3" spans="1:17" x14ac:dyDescent="0.2">
      <c r="A3" s="249" t="s">
        <v>147</v>
      </c>
      <c r="B3" s="250"/>
    </row>
    <row r="4" spans="1:17" ht="13.5" thickBot="1" x14ac:dyDescent="0.25">
      <c r="A4" s="249" t="s">
        <v>148</v>
      </c>
      <c r="B4" s="250"/>
    </row>
    <row r="5" spans="1:17" ht="39" thickBot="1" x14ac:dyDescent="0.25">
      <c r="G5" s="230" t="s">
        <v>154</v>
      </c>
      <c r="H5" s="231" t="s">
        <v>127</v>
      </c>
      <c r="I5" s="231" t="s">
        <v>89</v>
      </c>
      <c r="J5" s="232" t="s">
        <v>82</v>
      </c>
      <c r="K5" s="233" t="s">
        <v>149</v>
      </c>
      <c r="L5" s="233" t="s">
        <v>67</v>
      </c>
      <c r="M5" s="232" t="s">
        <v>150</v>
      </c>
      <c r="N5" s="232" t="s">
        <v>45</v>
      </c>
      <c r="O5" s="233" t="s">
        <v>151</v>
      </c>
      <c r="P5" s="233" t="s">
        <v>130</v>
      </c>
      <c r="Q5" s="229" t="s">
        <v>138</v>
      </c>
    </row>
    <row r="6" spans="1:17" x14ac:dyDescent="0.2">
      <c r="B6" s="228" t="s">
        <v>152</v>
      </c>
      <c r="C6" s="225">
        <v>365</v>
      </c>
      <c r="E6" s="186">
        <f>Planilla!A18</f>
        <v>1</v>
      </c>
      <c r="F6" s="222" t="s">
        <v>90</v>
      </c>
      <c r="G6" s="237" t="str">
        <f t="shared" ref="G6:G16" si="0">CHOOSE($E$6,H6,I6,J6,)</f>
        <v>SEH12013</v>
      </c>
      <c r="H6" s="227" t="s">
        <v>116</v>
      </c>
      <c r="I6" s="227" t="s">
        <v>92</v>
      </c>
      <c r="J6" s="227" t="s">
        <v>96</v>
      </c>
      <c r="K6" s="238">
        <v>41313</v>
      </c>
      <c r="L6" s="238">
        <v>40217</v>
      </c>
      <c r="M6" s="239">
        <v>0.12</v>
      </c>
      <c r="N6" s="240">
        <v>3</v>
      </c>
      <c r="O6" s="225">
        <v>2</v>
      </c>
      <c r="P6" s="225">
        <f t="shared" ref="P6:P25" si="1">+O6*N6</f>
        <v>6</v>
      </c>
      <c r="Q6" s="241">
        <v>4000000000</v>
      </c>
    </row>
    <row r="7" spans="1:17" x14ac:dyDescent="0.2">
      <c r="B7" s="228" t="s">
        <v>153</v>
      </c>
      <c r="C7" s="225">
        <f>+COUNT(K6:K216)</f>
        <v>41</v>
      </c>
      <c r="G7" s="237" t="str">
        <f>CHOOSE($E$6,H7,I7,J7,)</f>
        <v>SEH22013</v>
      </c>
      <c r="H7" s="227" t="s">
        <v>121</v>
      </c>
      <c r="I7" s="227" t="s">
        <v>102</v>
      </c>
      <c r="J7" s="227" t="s">
        <v>166</v>
      </c>
      <c r="K7" s="243">
        <v>41495</v>
      </c>
      <c r="L7" s="238">
        <v>40399</v>
      </c>
      <c r="M7" s="239">
        <v>0.105</v>
      </c>
      <c r="N7" s="240">
        <v>3</v>
      </c>
      <c r="O7" s="225">
        <v>2</v>
      </c>
      <c r="P7" s="225">
        <f t="shared" si="1"/>
        <v>6</v>
      </c>
      <c r="Q7" s="242">
        <v>3000000000</v>
      </c>
    </row>
    <row r="8" spans="1:17" x14ac:dyDescent="0.2">
      <c r="B8" s="223"/>
      <c r="G8" s="237" t="str">
        <f t="shared" si="0"/>
        <v>SEH12014</v>
      </c>
      <c r="H8" s="227" t="s">
        <v>70</v>
      </c>
      <c r="I8" s="227" t="s">
        <v>71</v>
      </c>
      <c r="J8" s="227" t="s">
        <v>95</v>
      </c>
      <c r="K8" s="238">
        <v>41677</v>
      </c>
      <c r="L8" s="238">
        <v>39851</v>
      </c>
      <c r="M8" s="239">
        <v>0.16</v>
      </c>
      <c r="N8" s="240">
        <v>5</v>
      </c>
      <c r="O8" s="225">
        <v>2</v>
      </c>
      <c r="P8" s="225">
        <f t="shared" si="1"/>
        <v>10</v>
      </c>
      <c r="Q8" s="241">
        <v>1500000000</v>
      </c>
    </row>
    <row r="9" spans="1:17" x14ac:dyDescent="0.2">
      <c r="B9" s="228" t="s">
        <v>144</v>
      </c>
      <c r="C9" s="225" t="str">
        <f>+Planilla!C16</f>
        <v>MH12040</v>
      </c>
      <c r="G9" s="237" t="str">
        <f t="shared" si="0"/>
        <v>MH22014</v>
      </c>
      <c r="H9" s="227" t="s">
        <v>125</v>
      </c>
      <c r="I9" s="227" t="s">
        <v>104</v>
      </c>
      <c r="J9" s="227" t="s">
        <v>141</v>
      </c>
      <c r="K9" s="243">
        <v>41796</v>
      </c>
      <c r="L9" s="238">
        <v>40700</v>
      </c>
      <c r="M9" s="239">
        <v>0.11700000000000001</v>
      </c>
      <c r="N9" s="240">
        <v>3</v>
      </c>
      <c r="O9" s="225">
        <v>2</v>
      </c>
      <c r="P9" s="225">
        <f t="shared" si="1"/>
        <v>6</v>
      </c>
      <c r="Q9" s="242">
        <v>4200000000</v>
      </c>
    </row>
    <row r="10" spans="1:17" x14ac:dyDescent="0.2">
      <c r="B10" s="228" t="s">
        <v>131</v>
      </c>
      <c r="C10" s="225">
        <f>IF(ISERROR(VLOOKUP(C9,$G$6:$P$216,8,FALSE)),"",(VLOOKUP(C9,$G$6:$P$216,8,FALSE)))</f>
        <v>20</v>
      </c>
      <c r="G10" s="237" t="str">
        <f t="shared" si="0"/>
        <v>SEH12015</v>
      </c>
      <c r="H10" s="227" t="s">
        <v>117</v>
      </c>
      <c r="I10" s="227" t="s">
        <v>93</v>
      </c>
      <c r="J10" s="227" t="s">
        <v>97</v>
      </c>
      <c r="K10" s="238">
        <v>42041</v>
      </c>
      <c r="L10" s="238">
        <v>40215</v>
      </c>
      <c r="M10" s="239">
        <v>0.14000000000000001</v>
      </c>
      <c r="N10" s="240">
        <v>5</v>
      </c>
      <c r="O10" s="225">
        <v>2</v>
      </c>
      <c r="P10" s="225">
        <f t="shared" si="1"/>
        <v>10</v>
      </c>
      <c r="Q10" s="242">
        <f>Q6</f>
        <v>4000000000</v>
      </c>
    </row>
    <row r="11" spans="1:17" x14ac:dyDescent="0.2">
      <c r="B11" s="228" t="s">
        <v>132</v>
      </c>
      <c r="C11" s="225">
        <f>+IF(ISERROR(VLOOKUP(C9,$G$6:$P$216,9,FALSE)),"",(VLOOKUP(C9,$G$6:$P$216,9,FALSE)))</f>
        <v>2</v>
      </c>
      <c r="G11" s="237" t="str">
        <f t="shared" si="0"/>
        <v>SEH22015</v>
      </c>
      <c r="H11" s="227" t="s">
        <v>122</v>
      </c>
      <c r="I11" s="227" t="s">
        <v>103</v>
      </c>
      <c r="J11" s="227" t="s">
        <v>110</v>
      </c>
      <c r="K11" s="243">
        <v>42223</v>
      </c>
      <c r="L11" s="238">
        <v>40397</v>
      </c>
      <c r="M11" s="239">
        <v>0.12</v>
      </c>
      <c r="N11" s="240">
        <v>5</v>
      </c>
      <c r="O11" s="225">
        <v>2</v>
      </c>
      <c r="P11" s="225">
        <f t="shared" si="1"/>
        <v>10</v>
      </c>
      <c r="Q11" s="242">
        <f>Q7</f>
        <v>3000000000</v>
      </c>
    </row>
    <row r="12" spans="1:17" x14ac:dyDescent="0.2">
      <c r="B12" s="228" t="s">
        <v>133</v>
      </c>
      <c r="C12" s="225">
        <f>+IF(ISERROR(C11*C10),"",(C11*C10))</f>
        <v>40</v>
      </c>
      <c r="G12" s="237" t="str">
        <f t="shared" si="0"/>
        <v>SEH12017</v>
      </c>
      <c r="H12" s="227" t="s">
        <v>120</v>
      </c>
      <c r="I12" s="227" t="s">
        <v>94</v>
      </c>
      <c r="J12" s="227" t="s">
        <v>98</v>
      </c>
      <c r="K12" s="238">
        <v>42776</v>
      </c>
      <c r="L12" s="238">
        <v>40219</v>
      </c>
      <c r="M12" s="239">
        <v>0.16</v>
      </c>
      <c r="N12" s="240">
        <v>7</v>
      </c>
      <c r="O12" s="225">
        <v>2</v>
      </c>
      <c r="P12" s="225">
        <f t="shared" si="1"/>
        <v>14</v>
      </c>
      <c r="Q12" s="242">
        <f>Q10</f>
        <v>4000000000</v>
      </c>
    </row>
    <row r="13" spans="1:17" x14ac:dyDescent="0.2">
      <c r="B13" s="223"/>
      <c r="G13" s="237" t="str">
        <f t="shared" si="0"/>
        <v>SEH22017</v>
      </c>
      <c r="H13" s="227" t="s">
        <v>123</v>
      </c>
      <c r="I13" s="227" t="s">
        <v>111</v>
      </c>
      <c r="J13" s="227" t="s">
        <v>112</v>
      </c>
      <c r="K13" s="243">
        <v>42951</v>
      </c>
      <c r="L13" s="238">
        <v>40394</v>
      </c>
      <c r="M13" s="239">
        <v>0.13500000000000001</v>
      </c>
      <c r="N13" s="240">
        <v>7</v>
      </c>
      <c r="O13" s="225">
        <v>2</v>
      </c>
      <c r="P13" s="225">
        <f t="shared" si="1"/>
        <v>14</v>
      </c>
      <c r="Q13" s="242">
        <f>Q11</f>
        <v>3000000000</v>
      </c>
    </row>
    <row r="14" spans="1:17" x14ac:dyDescent="0.2">
      <c r="B14" s="234" t="s">
        <v>134</v>
      </c>
      <c r="C14" s="244">
        <f>+IF(Planilla!E20="","",Planilla!E20/BaseDatos!C11)</f>
        <v>4.7500000000000001E-2</v>
      </c>
      <c r="G14" s="237" t="str">
        <f t="shared" si="0"/>
        <v>MH12018</v>
      </c>
      <c r="H14" s="227" t="s">
        <v>126</v>
      </c>
      <c r="I14" s="227" t="s">
        <v>105</v>
      </c>
      <c r="J14" s="227" t="s">
        <v>142</v>
      </c>
      <c r="K14" s="243">
        <v>43259</v>
      </c>
      <c r="L14" s="238">
        <v>40702</v>
      </c>
      <c r="M14" s="239">
        <v>0.14000000000000001</v>
      </c>
      <c r="N14" s="240">
        <v>7</v>
      </c>
      <c r="O14" s="225">
        <v>2</v>
      </c>
      <c r="P14" s="225">
        <f t="shared" si="1"/>
        <v>14</v>
      </c>
      <c r="Q14" s="242">
        <v>8000000000</v>
      </c>
    </row>
    <row r="15" spans="1:17" x14ac:dyDescent="0.2">
      <c r="B15" s="235" t="s">
        <v>135</v>
      </c>
      <c r="C15" s="245">
        <f ca="1">+C16/C17</f>
        <v>0.9505494505494505</v>
      </c>
      <c r="G15" s="237" t="str">
        <f t="shared" si="0"/>
        <v>MH22018</v>
      </c>
      <c r="H15" s="227" t="s">
        <v>162</v>
      </c>
      <c r="I15" s="227" t="s">
        <v>163</v>
      </c>
      <c r="J15" s="227" t="s">
        <v>170</v>
      </c>
      <c r="K15" s="243">
        <v>43140</v>
      </c>
      <c r="L15" s="238">
        <v>41314</v>
      </c>
      <c r="M15" s="239">
        <v>0.125</v>
      </c>
      <c r="N15" s="240">
        <v>5</v>
      </c>
      <c r="O15" s="225">
        <v>2</v>
      </c>
      <c r="P15" s="225">
        <f t="shared" si="1"/>
        <v>10</v>
      </c>
      <c r="Q15" s="242">
        <v>7500000000</v>
      </c>
    </row>
    <row r="16" spans="1:17" x14ac:dyDescent="0.2">
      <c r="B16" s="235" t="s">
        <v>137</v>
      </c>
      <c r="C16" s="246">
        <f ca="1">IF(AND(mon&gt;0,COUNT(Planilla!C18:E18)=2),IF(MIN(Planilla!$B$24:$B$74)&gt;vd,Planilla!C25-vd+Planilla!C19,OFFSET(Planilla!$B$25,Planilla!$A$20,0)-vd),"")</f>
        <v>173</v>
      </c>
      <c r="G16" s="237" t="str">
        <f t="shared" si="0"/>
        <v>MH12019</v>
      </c>
      <c r="H16" s="227" t="s">
        <v>158</v>
      </c>
      <c r="I16" s="227" t="s">
        <v>159</v>
      </c>
      <c r="J16" s="227" t="s">
        <v>169</v>
      </c>
      <c r="K16" s="243">
        <v>43560</v>
      </c>
      <c r="L16" s="243">
        <v>41004</v>
      </c>
      <c r="M16" s="239">
        <v>0.15</v>
      </c>
      <c r="N16" s="240">
        <v>7</v>
      </c>
      <c r="O16" s="225">
        <v>2</v>
      </c>
      <c r="P16" s="225">
        <f t="shared" si="1"/>
        <v>14</v>
      </c>
      <c r="Q16" s="242">
        <v>11000000000</v>
      </c>
    </row>
    <row r="17" spans="2:17" x14ac:dyDescent="0.2">
      <c r="B17" s="236" t="s">
        <v>136</v>
      </c>
      <c r="C17" s="247">
        <f ca="1">+IF(Planilla!H25=1,Planilla!C25,OFFSET(Planilla!$C$25,Planilla!$A$20,0))</f>
        <v>182</v>
      </c>
      <c r="G17" s="237" t="str">
        <f>CHOOSE($E$6,H17,I17,J17,)</f>
        <v>MH22019</v>
      </c>
      <c r="H17" s="227" t="s">
        <v>171</v>
      </c>
      <c r="I17" s="227" t="s">
        <v>172</v>
      </c>
      <c r="J17" s="227" t="s">
        <v>173</v>
      </c>
      <c r="K17" s="243">
        <v>43595</v>
      </c>
      <c r="L17" s="243">
        <v>41769</v>
      </c>
      <c r="M17" s="239">
        <v>0.104</v>
      </c>
      <c r="N17" s="240">
        <v>5</v>
      </c>
      <c r="O17" s="225">
        <v>2</v>
      </c>
      <c r="P17" s="225">
        <f t="shared" si="1"/>
        <v>10</v>
      </c>
      <c r="Q17" s="242">
        <v>10000000000</v>
      </c>
    </row>
    <row r="18" spans="2:17" x14ac:dyDescent="0.2">
      <c r="B18" s="223"/>
      <c r="G18" s="237" t="str">
        <f t="shared" ref="G18:G42" si="2">CHOOSE($E$6,H18,I18,J18,)</f>
        <v>MH12020</v>
      </c>
      <c r="H18" s="227" t="s">
        <v>124</v>
      </c>
      <c r="I18" s="227" t="s">
        <v>113</v>
      </c>
      <c r="J18" s="227" t="s">
        <v>114</v>
      </c>
      <c r="K18" s="243">
        <v>44022</v>
      </c>
      <c r="L18" s="238">
        <v>40369</v>
      </c>
      <c r="M18" s="239">
        <v>0.16</v>
      </c>
      <c r="N18" s="240">
        <v>10</v>
      </c>
      <c r="O18" s="225">
        <v>2</v>
      </c>
      <c r="P18" s="225">
        <f t="shared" si="1"/>
        <v>20</v>
      </c>
      <c r="Q18" s="242">
        <v>6000000000</v>
      </c>
    </row>
    <row r="19" spans="2:17" x14ac:dyDescent="0.2">
      <c r="B19" s="228" t="s">
        <v>84</v>
      </c>
      <c r="C19" s="248">
        <f ca="1">IF(Planilla!$H$19=0,"",SUMPRODUCT(Planilla!G25:G74,Planilla!M25:M74)/Planilla!H19/BaseDatos!$C$11/(1+Planilla!E20/BaseDatos!$C$11))</f>
        <v>8.609202505799864</v>
      </c>
      <c r="G19" s="237" t="str">
        <f t="shared" si="2"/>
        <v>MH12021</v>
      </c>
      <c r="H19" s="227" t="s">
        <v>155</v>
      </c>
      <c r="I19" s="227" t="s">
        <v>106</v>
      </c>
      <c r="J19" s="227" t="s">
        <v>143</v>
      </c>
      <c r="K19" s="243">
        <v>44351</v>
      </c>
      <c r="L19" s="238">
        <v>40698</v>
      </c>
      <c r="M19" s="239">
        <v>0.1595</v>
      </c>
      <c r="N19" s="240">
        <v>10</v>
      </c>
      <c r="O19" s="225">
        <v>2</v>
      </c>
      <c r="P19" s="225">
        <f t="shared" si="1"/>
        <v>20</v>
      </c>
      <c r="Q19" s="242">
        <v>13000000000</v>
      </c>
    </row>
    <row r="20" spans="2:17" x14ac:dyDescent="0.2">
      <c r="G20" s="237" t="str">
        <f t="shared" si="2"/>
        <v>MH12022</v>
      </c>
      <c r="H20" s="227" t="s">
        <v>156</v>
      </c>
      <c r="I20" s="227" t="s">
        <v>108</v>
      </c>
      <c r="J20" s="227" t="s">
        <v>115</v>
      </c>
      <c r="K20" s="243">
        <v>44596</v>
      </c>
      <c r="L20" s="238">
        <v>40943</v>
      </c>
      <c r="M20" s="239">
        <v>0.16950000000000001</v>
      </c>
      <c r="N20" s="240">
        <v>10</v>
      </c>
      <c r="O20" s="225">
        <v>2</v>
      </c>
      <c r="P20" s="225">
        <f t="shared" si="1"/>
        <v>20</v>
      </c>
      <c r="Q20" s="242">
        <v>12000000000</v>
      </c>
    </row>
    <row r="21" spans="2:17" x14ac:dyDescent="0.2">
      <c r="G21" s="237" t="s">
        <v>203</v>
      </c>
      <c r="H21" s="227" t="s">
        <v>174</v>
      </c>
      <c r="I21" s="227" t="s">
        <v>175</v>
      </c>
      <c r="J21" s="227" t="s">
        <v>176</v>
      </c>
      <c r="K21" s="243">
        <v>44624</v>
      </c>
      <c r="L21" s="238">
        <v>42067</v>
      </c>
      <c r="M21" s="239">
        <v>0.10375</v>
      </c>
      <c r="N21" s="240">
        <v>7</v>
      </c>
      <c r="O21" s="225">
        <v>2</v>
      </c>
      <c r="P21" s="225">
        <f t="shared" si="1"/>
        <v>14</v>
      </c>
      <c r="Q21" s="242">
        <v>10000000000</v>
      </c>
    </row>
    <row r="22" spans="2:17" x14ac:dyDescent="0.2">
      <c r="G22" s="237" t="str">
        <f t="shared" si="2"/>
        <v>MH12023</v>
      </c>
      <c r="H22" s="227" t="s">
        <v>160</v>
      </c>
      <c r="I22" s="227" t="s">
        <v>164</v>
      </c>
      <c r="J22" s="227" t="s">
        <v>168</v>
      </c>
      <c r="K22" s="243">
        <v>44967</v>
      </c>
      <c r="L22" s="238">
        <v>41315</v>
      </c>
      <c r="M22" s="239">
        <v>0.14499999999999999</v>
      </c>
      <c r="N22" s="240">
        <v>10</v>
      </c>
      <c r="O22" s="225">
        <v>2</v>
      </c>
      <c r="P22" s="225">
        <f t="shared" si="1"/>
        <v>20</v>
      </c>
      <c r="Q22" s="242">
        <v>12000000000</v>
      </c>
    </row>
    <row r="23" spans="2:17" x14ac:dyDescent="0.2">
      <c r="G23" s="237" t="s">
        <v>202</v>
      </c>
      <c r="H23" s="227" t="s">
        <v>202</v>
      </c>
      <c r="I23" s="227" t="s">
        <v>205</v>
      </c>
      <c r="J23" s="227" t="s">
        <v>214</v>
      </c>
      <c r="K23" s="243">
        <v>45023</v>
      </c>
      <c r="L23" s="238">
        <v>42832</v>
      </c>
      <c r="M23" s="239">
        <v>0.105</v>
      </c>
      <c r="N23" s="240">
        <v>6</v>
      </c>
      <c r="O23" s="225">
        <v>2</v>
      </c>
      <c r="P23" s="225">
        <f t="shared" si="1"/>
        <v>12</v>
      </c>
      <c r="Q23" s="242">
        <v>37500000000</v>
      </c>
    </row>
    <row r="24" spans="2:17" x14ac:dyDescent="0.2">
      <c r="G24" s="237" t="str">
        <f t="shared" si="2"/>
        <v>MH12024</v>
      </c>
      <c r="H24" s="227" t="s">
        <v>177</v>
      </c>
      <c r="I24" s="227" t="s">
        <v>178</v>
      </c>
      <c r="J24" s="227" t="s">
        <v>179</v>
      </c>
      <c r="K24" s="243">
        <v>45422</v>
      </c>
      <c r="L24" s="238">
        <v>41769</v>
      </c>
      <c r="M24" s="239">
        <v>0.115</v>
      </c>
      <c r="N24" s="240">
        <v>10</v>
      </c>
      <c r="O24" s="225">
        <v>2</v>
      </c>
      <c r="P24" s="225">
        <f t="shared" si="1"/>
        <v>20</v>
      </c>
      <c r="Q24" s="242">
        <v>10000000000</v>
      </c>
    </row>
    <row r="25" spans="2:17" x14ac:dyDescent="0.2">
      <c r="G25" s="237" t="s">
        <v>209</v>
      </c>
      <c r="H25" s="227" t="s">
        <v>210</v>
      </c>
      <c r="I25" s="227" t="s">
        <v>212</v>
      </c>
      <c r="J25" s="227" t="s">
        <v>215</v>
      </c>
      <c r="K25" s="243">
        <v>45302</v>
      </c>
      <c r="L25" s="238">
        <v>43476</v>
      </c>
      <c r="M25" s="239">
        <v>0.10249999999999999</v>
      </c>
      <c r="N25" s="240">
        <v>5</v>
      </c>
      <c r="O25" s="225">
        <v>2</v>
      </c>
      <c r="P25" s="225">
        <f t="shared" si="1"/>
        <v>10</v>
      </c>
      <c r="Q25" s="242">
        <v>10900000000</v>
      </c>
    </row>
    <row r="26" spans="2:17" x14ac:dyDescent="0.2">
      <c r="G26" s="237" t="str">
        <f>CHOOSE($E$6,H26,I26,J26,)</f>
        <v>MH12026</v>
      </c>
      <c r="H26" s="227" t="s">
        <v>180</v>
      </c>
      <c r="I26" s="227" t="s">
        <v>181</v>
      </c>
      <c r="J26" s="227" t="s">
        <v>182</v>
      </c>
      <c r="K26" s="243">
        <v>46087</v>
      </c>
      <c r="L26" s="238">
        <v>42069</v>
      </c>
      <c r="M26" s="239">
        <v>0.10375</v>
      </c>
      <c r="N26" s="240">
        <v>11</v>
      </c>
      <c r="O26" s="225">
        <v>2</v>
      </c>
      <c r="P26" s="225">
        <f t="shared" ref="P26:P33" si="3">+O26*N26</f>
        <v>22</v>
      </c>
      <c r="Q26" s="242">
        <v>15000000000</v>
      </c>
    </row>
    <row r="27" spans="2:17" x14ac:dyDescent="0.2">
      <c r="G27" s="237" t="str">
        <f>CHOOSE($E$6,H27,I27,J27,)</f>
        <v>MH22026</v>
      </c>
      <c r="H27" s="227" t="s">
        <v>190</v>
      </c>
      <c r="I27" s="227" t="s">
        <v>191</v>
      </c>
      <c r="J27" s="227" t="s">
        <v>194</v>
      </c>
      <c r="K27" s="243">
        <v>46036</v>
      </c>
      <c r="L27" s="238">
        <v>42383</v>
      </c>
      <c r="M27" s="239">
        <v>0.10875</v>
      </c>
      <c r="N27" s="240">
        <v>10</v>
      </c>
      <c r="O27" s="225">
        <v>2</v>
      </c>
      <c r="P27" s="225">
        <f t="shared" si="3"/>
        <v>20</v>
      </c>
      <c r="Q27" s="242">
        <v>20000000000</v>
      </c>
    </row>
    <row r="28" spans="2:17" x14ac:dyDescent="0.2">
      <c r="G28" s="237" t="s">
        <v>192</v>
      </c>
      <c r="H28" s="227" t="s">
        <v>192</v>
      </c>
      <c r="I28" s="227" t="s">
        <v>193</v>
      </c>
      <c r="J28" s="227" t="s">
        <v>195</v>
      </c>
      <c r="K28" s="243">
        <v>46332</v>
      </c>
      <c r="L28" s="238">
        <v>42496</v>
      </c>
      <c r="M28" s="239">
        <v>0.11</v>
      </c>
      <c r="N28" s="240">
        <v>10.5</v>
      </c>
      <c r="O28" s="225">
        <v>2</v>
      </c>
      <c r="P28" s="225">
        <f t="shared" si="3"/>
        <v>21</v>
      </c>
      <c r="Q28" s="242">
        <v>20000000000</v>
      </c>
    </row>
    <row r="29" spans="2:17" x14ac:dyDescent="0.2">
      <c r="G29" s="237" t="s">
        <v>196</v>
      </c>
      <c r="H29" s="227" t="s">
        <v>196</v>
      </c>
      <c r="I29" s="227" t="s">
        <v>197</v>
      </c>
      <c r="J29" s="227" t="s">
        <v>198</v>
      </c>
      <c r="K29" s="243">
        <v>46360</v>
      </c>
      <c r="L29" s="238">
        <v>42525</v>
      </c>
      <c r="M29" s="239">
        <v>0.11</v>
      </c>
      <c r="N29" s="240">
        <v>10.5</v>
      </c>
      <c r="O29" s="225">
        <v>2</v>
      </c>
      <c r="P29" s="225">
        <f t="shared" si="3"/>
        <v>21</v>
      </c>
      <c r="Q29" s="242">
        <v>16000000000</v>
      </c>
    </row>
    <row r="30" spans="2:17" x14ac:dyDescent="0.2">
      <c r="G30" s="237" t="s">
        <v>199</v>
      </c>
      <c r="H30" s="227" t="s">
        <v>199</v>
      </c>
      <c r="I30" s="259" t="s">
        <v>200</v>
      </c>
      <c r="J30" s="227" t="s">
        <v>201</v>
      </c>
      <c r="K30" s="243">
        <v>46423</v>
      </c>
      <c r="L30" s="238">
        <v>42587</v>
      </c>
      <c r="M30" s="239">
        <v>0.1125</v>
      </c>
      <c r="N30" s="240">
        <v>10.5</v>
      </c>
      <c r="O30" s="225">
        <v>2</v>
      </c>
      <c r="P30" s="225">
        <f t="shared" si="3"/>
        <v>21</v>
      </c>
      <c r="Q30" s="242">
        <v>50705000000</v>
      </c>
    </row>
    <row r="31" spans="2:17" x14ac:dyDescent="0.2">
      <c r="G31" s="237" t="str">
        <f t="shared" ref="G31:G34" si="4">CHOOSE($E$6,H31,I31,J31,)</f>
        <v>MH12028</v>
      </c>
      <c r="H31" s="227" t="s">
        <v>161</v>
      </c>
      <c r="I31" s="227" t="s">
        <v>165</v>
      </c>
      <c r="J31" s="227" t="s">
        <v>167</v>
      </c>
      <c r="K31" s="243">
        <v>46787</v>
      </c>
      <c r="L31" s="238">
        <v>41309</v>
      </c>
      <c r="M31" s="239">
        <v>0.185</v>
      </c>
      <c r="N31" s="240">
        <v>15</v>
      </c>
      <c r="O31" s="225">
        <v>2</v>
      </c>
      <c r="P31" s="225">
        <f t="shared" si="3"/>
        <v>30</v>
      </c>
      <c r="Q31" s="242">
        <v>9000000000</v>
      </c>
    </row>
    <row r="32" spans="2:17" x14ac:dyDescent="0.2">
      <c r="G32" s="237" t="str">
        <f t="shared" si="4"/>
        <v>MH22028</v>
      </c>
      <c r="H32" s="227" t="s">
        <v>183</v>
      </c>
      <c r="I32" s="227" t="s">
        <v>184</v>
      </c>
      <c r="J32" s="227" t="s">
        <v>185</v>
      </c>
      <c r="K32" s="243">
        <v>46878</v>
      </c>
      <c r="L32" s="238">
        <v>41399</v>
      </c>
      <c r="M32" s="239">
        <v>0.13500000000000001</v>
      </c>
      <c r="N32" s="240">
        <v>15</v>
      </c>
      <c r="O32" s="225">
        <v>2</v>
      </c>
      <c r="P32" s="225">
        <f t="shared" si="3"/>
        <v>30</v>
      </c>
      <c r="Q32" s="242">
        <v>9208000000</v>
      </c>
    </row>
    <row r="33" spans="7:17" x14ac:dyDescent="0.2">
      <c r="G33" s="237" t="s">
        <v>207</v>
      </c>
      <c r="H33" s="227" t="s">
        <v>207</v>
      </c>
      <c r="I33" s="227" t="s">
        <v>208</v>
      </c>
      <c r="J33" s="227" t="s">
        <v>216</v>
      </c>
      <c r="K33" s="243">
        <v>46976</v>
      </c>
      <c r="L33" s="238">
        <v>43322</v>
      </c>
      <c r="M33" s="239">
        <v>0.1075</v>
      </c>
      <c r="N33" s="240">
        <v>10</v>
      </c>
      <c r="O33" s="225">
        <v>2</v>
      </c>
      <c r="P33" s="225">
        <f t="shared" si="3"/>
        <v>20</v>
      </c>
      <c r="Q33" s="242">
        <v>40000000000</v>
      </c>
    </row>
    <row r="34" spans="7:17" x14ac:dyDescent="0.2">
      <c r="G34" s="237" t="str">
        <f t="shared" si="4"/>
        <v>MH12029</v>
      </c>
      <c r="H34" s="227" t="s">
        <v>186</v>
      </c>
      <c r="I34" s="227" t="s">
        <v>187</v>
      </c>
      <c r="J34" s="227" t="s">
        <v>188</v>
      </c>
      <c r="K34" s="238">
        <v>47305</v>
      </c>
      <c r="L34" s="238">
        <v>41826</v>
      </c>
      <c r="M34" s="254">
        <v>0.11375</v>
      </c>
      <c r="N34" s="240">
        <v>15</v>
      </c>
      <c r="O34" s="225">
        <v>2</v>
      </c>
      <c r="P34" s="225">
        <f t="shared" ref="P34:P46" si="5">+O34*N34</f>
        <v>30</v>
      </c>
      <c r="Q34" s="242">
        <v>30000000000</v>
      </c>
    </row>
    <row r="35" spans="7:17" x14ac:dyDescent="0.2">
      <c r="G35" s="237" t="s">
        <v>219</v>
      </c>
      <c r="H35" s="227" t="s">
        <v>219</v>
      </c>
      <c r="I35" s="266" t="s">
        <v>221</v>
      </c>
      <c r="J35" s="266" t="s">
        <v>220</v>
      </c>
      <c r="K35" s="238">
        <v>47430</v>
      </c>
      <c r="L35" s="238">
        <v>43777</v>
      </c>
      <c r="M35" s="254">
        <v>0.1075</v>
      </c>
      <c r="N35" s="240">
        <v>10</v>
      </c>
      <c r="O35" s="225">
        <v>2</v>
      </c>
      <c r="P35" s="225">
        <f t="shared" si="5"/>
        <v>20</v>
      </c>
      <c r="Q35" s="242">
        <v>17315700000</v>
      </c>
    </row>
    <row r="36" spans="7:17" x14ac:dyDescent="0.2">
      <c r="G36" s="237" t="s">
        <v>222</v>
      </c>
      <c r="H36" s="227" t="s">
        <v>222</v>
      </c>
      <c r="I36" s="266" t="s">
        <v>225</v>
      </c>
      <c r="J36" s="266" t="s">
        <v>220</v>
      </c>
      <c r="K36" s="238">
        <v>47494</v>
      </c>
      <c r="L36" s="238">
        <v>43841</v>
      </c>
      <c r="M36" s="254">
        <v>0.10375</v>
      </c>
      <c r="N36" s="240">
        <v>10</v>
      </c>
      <c r="O36" s="225">
        <v>2</v>
      </c>
      <c r="P36" s="225">
        <f t="shared" si="5"/>
        <v>20</v>
      </c>
      <c r="Q36" s="242">
        <v>25000000000</v>
      </c>
    </row>
    <row r="37" spans="7:17" x14ac:dyDescent="0.2">
      <c r="G37" s="237" t="s">
        <v>204</v>
      </c>
      <c r="H37" s="227" t="s">
        <v>204</v>
      </c>
      <c r="I37" s="227" t="s">
        <v>206</v>
      </c>
      <c r="J37" s="227" t="s">
        <v>217</v>
      </c>
      <c r="K37" s="238">
        <v>48278</v>
      </c>
      <c r="L37" s="238">
        <v>42799</v>
      </c>
      <c r="M37" s="254">
        <v>0.12</v>
      </c>
      <c r="N37" s="240">
        <v>15</v>
      </c>
      <c r="O37" s="225">
        <v>2</v>
      </c>
      <c r="P37" s="225">
        <f t="shared" si="5"/>
        <v>30</v>
      </c>
      <c r="Q37" s="242">
        <v>73295000000</v>
      </c>
    </row>
    <row r="38" spans="7:17" x14ac:dyDescent="0.2">
      <c r="G38" s="237" t="s">
        <v>211</v>
      </c>
      <c r="H38" s="227" t="s">
        <v>211</v>
      </c>
      <c r="I38" s="227" t="s">
        <v>213</v>
      </c>
      <c r="J38" s="227" t="s">
        <v>218</v>
      </c>
      <c r="K38" s="238">
        <v>48955</v>
      </c>
      <c r="L38" s="238">
        <v>43476</v>
      </c>
      <c r="M38" s="254">
        <v>0.115</v>
      </c>
      <c r="N38" s="240">
        <v>15</v>
      </c>
      <c r="O38" s="225">
        <v>2</v>
      </c>
      <c r="P38" s="225">
        <f t="shared" si="5"/>
        <v>30</v>
      </c>
      <c r="Q38" s="242">
        <v>32000000000</v>
      </c>
    </row>
    <row r="39" spans="7:17" x14ac:dyDescent="0.2">
      <c r="G39" s="237" t="s">
        <v>223</v>
      </c>
      <c r="H39" s="227" t="s">
        <v>223</v>
      </c>
      <c r="I39" s="227" t="s">
        <v>226</v>
      </c>
      <c r="J39" s="227" t="s">
        <v>220</v>
      </c>
      <c r="K39" s="238">
        <v>49314</v>
      </c>
      <c r="L39" s="238">
        <v>43835</v>
      </c>
      <c r="M39" s="254">
        <v>0.10875</v>
      </c>
      <c r="N39" s="240">
        <v>15</v>
      </c>
      <c r="O39" s="225">
        <v>2</v>
      </c>
      <c r="P39" s="225">
        <f t="shared" si="5"/>
        <v>30</v>
      </c>
      <c r="Q39" s="242">
        <v>25000000000</v>
      </c>
    </row>
    <row r="40" spans="7:17" x14ac:dyDescent="0.2">
      <c r="G40" s="237" t="s">
        <v>224</v>
      </c>
      <c r="H40" s="227" t="s">
        <v>224</v>
      </c>
      <c r="I40" s="227" t="s">
        <v>227</v>
      </c>
      <c r="J40" s="227" t="s">
        <v>220</v>
      </c>
      <c r="K40" s="238">
        <v>51141</v>
      </c>
      <c r="L40" s="238">
        <v>43836</v>
      </c>
      <c r="M40" s="254">
        <v>0.11375</v>
      </c>
      <c r="N40" s="240">
        <v>20</v>
      </c>
      <c r="O40" s="225">
        <v>2</v>
      </c>
      <c r="P40" s="225">
        <f t="shared" si="5"/>
        <v>40</v>
      </c>
      <c r="Q40" s="242">
        <v>25000000000</v>
      </c>
    </row>
    <row r="41" spans="7:17" x14ac:dyDescent="0.2">
      <c r="G41" s="237" t="str">
        <f t="shared" si="2"/>
        <v>ADM12016</v>
      </c>
      <c r="H41" s="227" t="s">
        <v>118</v>
      </c>
      <c r="I41" s="227" t="s">
        <v>107</v>
      </c>
      <c r="J41" s="227" t="s">
        <v>139</v>
      </c>
      <c r="K41" s="238">
        <v>42678</v>
      </c>
      <c r="L41" s="238">
        <v>40851</v>
      </c>
      <c r="M41" s="239">
        <v>0.05</v>
      </c>
      <c r="N41" s="240">
        <v>5</v>
      </c>
      <c r="O41" s="225">
        <v>2</v>
      </c>
      <c r="P41" s="225">
        <f t="shared" si="5"/>
        <v>10</v>
      </c>
      <c r="Q41" s="242">
        <v>3000000000</v>
      </c>
    </row>
    <row r="42" spans="7:17" x14ac:dyDescent="0.2">
      <c r="G42" s="237" t="str">
        <f t="shared" si="2"/>
        <v>ADM12017</v>
      </c>
      <c r="H42" s="227" t="s">
        <v>119</v>
      </c>
      <c r="I42" s="227" t="s">
        <v>109</v>
      </c>
      <c r="J42" s="227" t="s">
        <v>140</v>
      </c>
      <c r="K42" s="238">
        <v>42776</v>
      </c>
      <c r="L42" s="238">
        <v>40949</v>
      </c>
      <c r="M42" s="239">
        <v>0.1</v>
      </c>
      <c r="N42" s="240">
        <v>5</v>
      </c>
      <c r="O42" s="225">
        <v>2</v>
      </c>
      <c r="P42" s="225">
        <f t="shared" si="5"/>
        <v>10</v>
      </c>
      <c r="Q42" s="242">
        <v>1440000000</v>
      </c>
    </row>
    <row r="43" spans="7:17" x14ac:dyDescent="0.2">
      <c r="G43" s="237" t="s">
        <v>228</v>
      </c>
      <c r="H43" s="226" t="s">
        <v>228</v>
      </c>
      <c r="I43" s="226" t="s">
        <v>232</v>
      </c>
      <c r="J43" s="226" t="s">
        <v>220</v>
      </c>
      <c r="K43" s="238">
        <v>47542</v>
      </c>
      <c r="L43" s="238">
        <v>43889</v>
      </c>
      <c r="M43" s="254">
        <v>0.1</v>
      </c>
      <c r="N43" s="225">
        <v>10</v>
      </c>
      <c r="O43" s="225">
        <v>2</v>
      </c>
      <c r="P43" s="225">
        <f t="shared" si="5"/>
        <v>20</v>
      </c>
      <c r="Q43" s="241">
        <v>10000000000</v>
      </c>
    </row>
    <row r="44" spans="7:17" x14ac:dyDescent="0.2">
      <c r="G44" s="237" t="s">
        <v>229</v>
      </c>
      <c r="H44" s="226" t="s">
        <v>229</v>
      </c>
      <c r="I44" s="226" t="s">
        <v>233</v>
      </c>
      <c r="J44" s="226" t="s">
        <v>220</v>
      </c>
      <c r="K44" s="238">
        <v>49368</v>
      </c>
      <c r="L44" s="238">
        <v>43889</v>
      </c>
      <c r="M44" s="254">
        <v>0.10249999999999999</v>
      </c>
      <c r="N44" s="225">
        <v>15</v>
      </c>
      <c r="O44" s="225">
        <v>2</v>
      </c>
      <c r="P44" s="225">
        <f t="shared" si="5"/>
        <v>30</v>
      </c>
      <c r="Q44" s="241">
        <v>10000000000</v>
      </c>
    </row>
    <row r="45" spans="7:17" x14ac:dyDescent="0.2">
      <c r="G45" s="237" t="s">
        <v>230</v>
      </c>
      <c r="H45" s="226" t="s">
        <v>230</v>
      </c>
      <c r="I45" s="226" t="s">
        <v>234</v>
      </c>
      <c r="J45" s="226" t="s">
        <v>220</v>
      </c>
      <c r="K45" s="238">
        <v>14669</v>
      </c>
      <c r="L45" s="238">
        <v>43889</v>
      </c>
      <c r="M45" s="254">
        <v>0.10875</v>
      </c>
      <c r="N45" s="225">
        <v>20</v>
      </c>
      <c r="O45" s="225">
        <v>2</v>
      </c>
      <c r="P45" s="225">
        <f t="shared" si="5"/>
        <v>40</v>
      </c>
      <c r="Q45" s="241">
        <v>10000000000</v>
      </c>
    </row>
    <row r="46" spans="7:17" x14ac:dyDescent="0.2">
      <c r="G46" s="237" t="s">
        <v>231</v>
      </c>
      <c r="H46" s="226" t="s">
        <v>231</v>
      </c>
      <c r="I46" s="226" t="s">
        <v>235</v>
      </c>
      <c r="J46" s="226" t="s">
        <v>220</v>
      </c>
      <c r="K46" s="238">
        <v>51194</v>
      </c>
      <c r="L46" s="238">
        <v>43889</v>
      </c>
      <c r="M46" s="254">
        <v>0.10875</v>
      </c>
      <c r="N46" s="225">
        <v>20</v>
      </c>
      <c r="O46" s="225">
        <v>2</v>
      </c>
      <c r="P46" s="225">
        <f t="shared" si="5"/>
        <v>40</v>
      </c>
      <c r="Q46" s="241">
        <v>10000000000</v>
      </c>
    </row>
    <row r="47" spans="7:17" x14ac:dyDescent="0.2">
      <c r="G47" s="237"/>
      <c r="H47" s="226"/>
      <c r="I47" s="226"/>
      <c r="J47" s="226"/>
      <c r="K47" s="225"/>
      <c r="L47" s="225"/>
      <c r="M47" s="225"/>
      <c r="N47" s="225"/>
      <c r="O47" s="225"/>
      <c r="P47" s="225"/>
      <c r="Q47" s="225"/>
    </row>
  </sheetData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7</vt:i4>
      </vt:variant>
    </vt:vector>
  </HeadingPairs>
  <TitlesOfParts>
    <vt:vector size="9" baseType="lpstr">
      <vt:lpstr>Planilla</vt:lpstr>
      <vt:lpstr>BaseDatos</vt:lpstr>
      <vt:lpstr>clasif</vt:lpstr>
      <vt:lpstr>da</vt:lpstr>
      <vt:lpstr>mon</vt:lpstr>
      <vt:lpstr>nominal</vt:lpstr>
      <vt:lpstr>period</vt:lpstr>
      <vt:lpstr>vd</vt:lpstr>
      <vt:lpstr>yrs</vt:lpstr>
    </vt:vector>
  </TitlesOfParts>
  <Company>banco central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López</dc:creator>
  <cp:lastModifiedBy>Pierina Natalia Forastieri Santiago</cp:lastModifiedBy>
  <cp:lastPrinted>2009-03-20T12:55:07Z</cp:lastPrinted>
  <dcterms:created xsi:type="dcterms:W3CDTF">2007-03-19T19:10:43Z</dcterms:created>
  <dcterms:modified xsi:type="dcterms:W3CDTF">2020-05-01T13:30:14Z</dcterms:modified>
</cp:coreProperties>
</file>